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-38400" yWindow="0" windowWidth="38400" windowHeight="24000" tabRatio="500" activeTab="2"/>
  </bookViews>
  <sheets>
    <sheet name="取引履歴" sheetId="1" r:id="rId1"/>
    <sheet name="月次データ" sheetId="2" r:id="rId2"/>
    <sheet name="単体通貨" sheetId="3" r:id="rId3"/>
  </sheets>
  <calcPr calcId="140000" concurrentCalc="0"/>
  <extLst>
    <ext xmlns:mx="http://schemas.microsoft.com/office/mac/excel/2008/main" uri="{7523E5D3-25F3-A5E0-1632-64F254C22452}">
      <mx:CRTarget Flags="4096"/>
      <mx:ArchID Flags="2"/>
    </ext>
  </extLst>
</workbook>
</file>

<file path=xl/calcChain.xml><?xml version="1.0" encoding="utf-8"?>
<calcChain xmlns="http://schemas.openxmlformats.org/spreadsheetml/2006/main">
  <c r="D2" i="3" l="1"/>
  <c r="C2" i="3"/>
  <c r="L2" i="3"/>
  <c r="L9" i="3"/>
  <c r="L8" i="3"/>
  <c r="L7" i="3"/>
  <c r="L6" i="3"/>
  <c r="L5" i="3"/>
  <c r="L4" i="3"/>
  <c r="L3" i="3"/>
  <c r="K9" i="3"/>
  <c r="K8" i="3"/>
  <c r="K7" i="3"/>
  <c r="K6" i="3"/>
  <c r="K5" i="3"/>
  <c r="K4" i="3"/>
  <c r="K3" i="3"/>
  <c r="K2" i="3"/>
  <c r="H9" i="3"/>
  <c r="H8" i="3"/>
  <c r="H7" i="3"/>
  <c r="H6" i="3"/>
  <c r="H5" i="3"/>
  <c r="H4" i="3"/>
  <c r="H3" i="3"/>
  <c r="G9" i="3"/>
  <c r="G8" i="3"/>
  <c r="G7" i="3"/>
  <c r="G6" i="3"/>
  <c r="G5" i="3"/>
  <c r="G4" i="3"/>
  <c r="G3" i="3"/>
  <c r="F9" i="3"/>
  <c r="F8" i="3"/>
  <c r="F7" i="3"/>
  <c r="F6" i="3"/>
  <c r="F5" i="3"/>
  <c r="F4" i="3"/>
  <c r="F3" i="3"/>
  <c r="F2" i="3"/>
  <c r="E9" i="3"/>
  <c r="E8" i="3"/>
  <c r="E7" i="3"/>
  <c r="E6" i="3"/>
  <c r="E5" i="3"/>
  <c r="E4" i="3"/>
  <c r="E3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H2" i="3"/>
  <c r="G2" i="3"/>
  <c r="E2" i="3"/>
  <c r="D9" i="3"/>
  <c r="D8" i="3"/>
  <c r="D7" i="3"/>
  <c r="D6" i="3"/>
  <c r="D5" i="3"/>
  <c r="D4" i="3"/>
  <c r="D3" i="3"/>
  <c r="C9" i="3"/>
  <c r="C8" i="3"/>
  <c r="C7" i="3"/>
  <c r="C6" i="3"/>
  <c r="C5" i="3"/>
  <c r="C4" i="3"/>
  <c r="C3" i="3"/>
  <c r="B9" i="3"/>
  <c r="B8" i="3"/>
  <c r="B7" i="3"/>
  <c r="B6" i="3"/>
  <c r="B5" i="3"/>
  <c r="B4" i="3"/>
  <c r="B3" i="3"/>
  <c r="J2" i="3"/>
  <c r="I2" i="3"/>
  <c r="B2" i="3"/>
  <c r="V17" i="3"/>
  <c r="V15" i="3"/>
  <c r="V13" i="3"/>
  <c r="V11" i="3"/>
  <c r="V9" i="3"/>
  <c r="V7" i="3"/>
  <c r="V5" i="3"/>
  <c r="V3" i="3"/>
  <c r="V3" i="2"/>
  <c r="I3" i="2"/>
  <c r="V4" i="2"/>
  <c r="I4" i="2"/>
  <c r="V5" i="2"/>
  <c r="I5" i="2"/>
  <c r="V2" i="2"/>
  <c r="I2" i="2"/>
  <c r="Y2" i="2"/>
  <c r="F2" i="2"/>
  <c r="E2" i="2"/>
  <c r="X2" i="2"/>
  <c r="M2" i="2"/>
  <c r="N2" i="2"/>
  <c r="R2" i="2"/>
  <c r="W2" i="2"/>
  <c r="J2" i="2"/>
  <c r="Q2" i="2"/>
  <c r="K5" i="2"/>
  <c r="K4" i="2"/>
  <c r="K3" i="2"/>
  <c r="K2" i="2"/>
  <c r="D5" i="2"/>
  <c r="D4" i="2"/>
  <c r="D3" i="2"/>
  <c r="D2" i="2"/>
  <c r="Y5" i="2"/>
  <c r="X5" i="2"/>
  <c r="W5" i="2"/>
  <c r="U5" i="2"/>
  <c r="O5" i="2"/>
  <c r="P5" i="2"/>
  <c r="T5" i="2"/>
  <c r="L5" i="2"/>
  <c r="S5" i="2"/>
  <c r="M5" i="2"/>
  <c r="N5" i="2"/>
  <c r="R5" i="2"/>
  <c r="J5" i="2"/>
  <c r="Q5" i="2"/>
  <c r="H5" i="2"/>
  <c r="G5" i="2"/>
  <c r="F5" i="2"/>
  <c r="E5" i="2"/>
  <c r="C5" i="2"/>
  <c r="B5" i="2"/>
  <c r="Y4" i="2"/>
  <c r="X4" i="2"/>
  <c r="W4" i="2"/>
  <c r="U4" i="2"/>
  <c r="O4" i="2"/>
  <c r="P4" i="2"/>
  <c r="T4" i="2"/>
  <c r="L4" i="2"/>
  <c r="S4" i="2"/>
  <c r="M4" i="2"/>
  <c r="N4" i="2"/>
  <c r="R4" i="2"/>
  <c r="J4" i="2"/>
  <c r="Q4" i="2"/>
  <c r="H4" i="2"/>
  <c r="G4" i="2"/>
  <c r="F4" i="2"/>
  <c r="E4" i="2"/>
  <c r="C4" i="2"/>
  <c r="B4" i="2"/>
  <c r="Y3" i="2"/>
  <c r="X3" i="2"/>
  <c r="W3" i="2"/>
  <c r="U3" i="2"/>
  <c r="O3" i="2"/>
  <c r="P3" i="2"/>
  <c r="T3" i="2"/>
  <c r="L3" i="2"/>
  <c r="S3" i="2"/>
  <c r="M3" i="2"/>
  <c r="N3" i="2"/>
  <c r="R3" i="2"/>
  <c r="J3" i="2"/>
  <c r="Q3" i="2"/>
  <c r="H3" i="2"/>
  <c r="G3" i="2"/>
  <c r="F3" i="2"/>
  <c r="E3" i="2"/>
  <c r="C3" i="2"/>
  <c r="B3" i="2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4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U2" i="2"/>
  <c r="O2" i="2"/>
  <c r="P2" i="2"/>
  <c r="T2" i="2"/>
  <c r="L2" i="2"/>
  <c r="S2" i="2"/>
  <c r="H2" i="2"/>
  <c r="G2" i="2"/>
  <c r="C2" i="2"/>
  <c r="B2" i="2"/>
  <c r="H10" i="1"/>
  <c r="I6" i="1"/>
  <c r="I7" i="1"/>
  <c r="I8" i="1"/>
  <c r="I9" i="1"/>
  <c r="I10" i="1"/>
  <c r="J10" i="1"/>
  <c r="K10" i="1"/>
  <c r="N11" i="1"/>
  <c r="N10" i="1"/>
  <c r="L10" i="1"/>
  <c r="M10" i="1"/>
  <c r="H11" i="1"/>
  <c r="I11" i="1"/>
  <c r="J11" i="1"/>
  <c r="K11" i="1"/>
  <c r="N12" i="1"/>
  <c r="N13" i="1"/>
  <c r="N14" i="1"/>
  <c r="N15" i="1"/>
  <c r="N16" i="1"/>
  <c r="N17" i="1"/>
  <c r="N18" i="1"/>
  <c r="N2" i="1"/>
  <c r="N3" i="1"/>
  <c r="N4" i="1"/>
  <c r="N5" i="1"/>
  <c r="N6" i="1"/>
  <c r="N7" i="1"/>
  <c r="N8" i="1"/>
  <c r="N9" i="1"/>
  <c r="N40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M9" i="1"/>
  <c r="L9" i="1"/>
  <c r="K9" i="1"/>
  <c r="J9" i="1"/>
  <c r="I3" i="1"/>
  <c r="I4" i="1"/>
  <c r="I5" i="1"/>
  <c r="H3" i="1"/>
  <c r="H4" i="1"/>
  <c r="H5" i="1"/>
  <c r="H6" i="1"/>
  <c r="H7" i="1"/>
  <c r="H8" i="1"/>
  <c r="H9" i="1"/>
  <c r="L8" i="1"/>
  <c r="L7" i="1"/>
  <c r="L6" i="1"/>
  <c r="L5" i="1"/>
  <c r="L4" i="1"/>
  <c r="M8" i="1"/>
  <c r="M7" i="1"/>
  <c r="M6" i="1"/>
  <c r="M5" i="1"/>
  <c r="M4" i="1"/>
  <c r="M3" i="1"/>
  <c r="M2" i="1"/>
  <c r="K2" i="1"/>
  <c r="L2" i="1"/>
  <c r="J2" i="1"/>
  <c r="L3" i="1"/>
  <c r="K8" i="1"/>
  <c r="K7" i="1"/>
  <c r="K6" i="1"/>
  <c r="K5" i="1"/>
  <c r="K4" i="1"/>
  <c r="K3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<sst xmlns="http://schemas.openxmlformats.org/spreadsheetml/2006/main" count="163" uniqueCount="109">
  <si>
    <t>日付</t>
    <rPh sb="0" eb="2">
      <t>ヒヅケ</t>
    </rPh>
    <phoneticPr fontId="2"/>
  </si>
  <si>
    <t>通貨ペア</t>
    <rPh sb="0" eb="2">
      <t>ツウカ</t>
    </rPh>
    <phoneticPr fontId="2"/>
  </si>
  <si>
    <t>方向</t>
    <rPh sb="0" eb="2">
      <t>ホウコウ</t>
    </rPh>
    <phoneticPr fontId="2"/>
  </si>
  <si>
    <t>ロット</t>
    <phoneticPr fontId="2"/>
  </si>
  <si>
    <t>Pips</t>
    <phoneticPr fontId="2"/>
  </si>
  <si>
    <t>損益</t>
    <rPh sb="0" eb="2">
      <t>ソンエキ</t>
    </rPh>
    <phoneticPr fontId="2"/>
  </si>
  <si>
    <t>手数料</t>
    <rPh sb="0" eb="3">
      <t>テスウリョウ</t>
    </rPh>
    <phoneticPr fontId="2"/>
  </si>
  <si>
    <t>累計Pips</t>
    <rPh sb="0" eb="2">
      <t>ルイケイ</t>
    </rPh>
    <phoneticPr fontId="2"/>
  </si>
  <si>
    <t>累計損益</t>
    <rPh sb="0" eb="2">
      <t>ルイケイ</t>
    </rPh>
    <rPh sb="2" eb="4">
      <t>ソンエキ</t>
    </rPh>
    <phoneticPr fontId="2"/>
  </si>
  <si>
    <t>日Pips</t>
    <rPh sb="0" eb="1">
      <t>ヒ</t>
    </rPh>
    <phoneticPr fontId="2"/>
  </si>
  <si>
    <t>週Pips</t>
    <rPh sb="0" eb="1">
      <t>シュウ</t>
    </rPh>
    <phoneticPr fontId="2"/>
  </si>
  <si>
    <t>日損益</t>
    <rPh sb="0" eb="1">
      <t>ヒ</t>
    </rPh>
    <rPh sb="1" eb="3">
      <t>ソンエキ</t>
    </rPh>
    <phoneticPr fontId="2"/>
  </si>
  <si>
    <t>週損益</t>
    <rPh sb="0" eb="1">
      <t>シュウ</t>
    </rPh>
    <rPh sb="1" eb="3">
      <t>ソンエキ</t>
    </rPh>
    <phoneticPr fontId="2"/>
  </si>
  <si>
    <t>週</t>
    <rPh sb="0" eb="1">
      <t>シュウ</t>
    </rPh>
    <phoneticPr fontId="2"/>
  </si>
  <si>
    <t>EURUSD</t>
    <phoneticPr fontId="2"/>
  </si>
  <si>
    <t>ロング</t>
  </si>
  <si>
    <t>ロング</t>
    <phoneticPr fontId="2"/>
  </si>
  <si>
    <t>ショート</t>
  </si>
  <si>
    <t>ショート</t>
    <phoneticPr fontId="2"/>
  </si>
  <si>
    <t>GBPJPY</t>
    <phoneticPr fontId="2"/>
  </si>
  <si>
    <t>USDJPY</t>
    <phoneticPr fontId="2"/>
  </si>
  <si>
    <t>EURUSD</t>
    <phoneticPr fontId="2"/>
  </si>
  <si>
    <t>EURGBP</t>
    <phoneticPr fontId="2"/>
  </si>
  <si>
    <t>EURJPY</t>
    <phoneticPr fontId="2"/>
  </si>
  <si>
    <t>ロング</t>
    <phoneticPr fontId="2"/>
  </si>
  <si>
    <t>ここでは1000通貨で0.01の表記</t>
    <rPh sb="8" eb="10">
      <t>センツウカ</t>
    </rPh>
    <rPh sb="16" eb="18">
      <t>ヒョウキ</t>
    </rPh>
    <phoneticPr fontId="2"/>
  </si>
  <si>
    <t>1/1のEURUSDは1万通貨ということです。</t>
    <rPh sb="12" eb="13">
      <t>マン</t>
    </rPh>
    <rPh sb="13" eb="15">
      <t>ツウカ</t>
    </rPh>
    <phoneticPr fontId="2"/>
  </si>
  <si>
    <t>1/9が複数あるので4行と5行は非表示で6行目に1/9のデータが表示されます。</t>
    <rPh sb="4" eb="6">
      <t>フクスウ</t>
    </rPh>
    <rPh sb="11" eb="12">
      <t>ギョウ</t>
    </rPh>
    <rPh sb="14" eb="15">
      <t>ギョウ</t>
    </rPh>
    <rPh sb="16" eb="19">
      <t>ヒヒョウジ</t>
    </rPh>
    <rPh sb="21" eb="23">
      <t>ギョウメ</t>
    </rPh>
    <rPh sb="32" eb="34">
      <t>ヒョウジ</t>
    </rPh>
    <phoneticPr fontId="2"/>
  </si>
  <si>
    <t>同じ法則で同じ週の場合は非表示で最後のデータ行だけ表示されます。</t>
    <rPh sb="0" eb="1">
      <t>オナ</t>
    </rPh>
    <rPh sb="2" eb="4">
      <t>ホウソク</t>
    </rPh>
    <rPh sb="5" eb="6">
      <t>オナ</t>
    </rPh>
    <rPh sb="7" eb="8">
      <t>シュウ</t>
    </rPh>
    <rPh sb="9" eb="11">
      <t>バアイ</t>
    </rPh>
    <rPh sb="12" eb="15">
      <t>ヒヒョウジ</t>
    </rPh>
    <rPh sb="16" eb="18">
      <t>サイゴ</t>
    </rPh>
    <rPh sb="22" eb="23">
      <t>ギョウ</t>
    </rPh>
    <rPh sb="25" eb="27">
      <t>ヒョウジ</t>
    </rPh>
    <phoneticPr fontId="2"/>
  </si>
  <si>
    <t>USDJPY</t>
    <phoneticPr fontId="2"/>
  </si>
  <si>
    <t>CADJPY</t>
    <phoneticPr fontId="2"/>
  </si>
  <si>
    <t>NZDUSD</t>
    <phoneticPr fontId="2"/>
  </si>
  <si>
    <t>AUDJPY</t>
    <phoneticPr fontId="2"/>
  </si>
  <si>
    <t>月をまたいでも同じ週として扱います</t>
    <rPh sb="0" eb="1">
      <t>ツキ</t>
    </rPh>
    <rPh sb="7" eb="8">
      <t>オナ</t>
    </rPh>
    <rPh sb="9" eb="10">
      <t>シュウ</t>
    </rPh>
    <rPh sb="13" eb="14">
      <t>アツカ</t>
    </rPh>
    <phoneticPr fontId="2"/>
  </si>
  <si>
    <t>月</t>
    <rPh sb="0" eb="1">
      <t>ゲツジ</t>
    </rPh>
    <phoneticPr fontId="5"/>
  </si>
  <si>
    <t>Pips</t>
  </si>
  <si>
    <t>損益</t>
    <rPh sb="0" eb="2">
      <t>ソンエキ</t>
    </rPh>
    <phoneticPr fontId="5"/>
  </si>
  <si>
    <t>手数料</t>
    <rPh sb="0" eb="3">
      <t>テスウリョウ</t>
    </rPh>
    <phoneticPr fontId="5"/>
  </si>
  <si>
    <t>最大獲得pips</t>
    <rPh sb="0" eb="2">
      <t>サイダイ</t>
    </rPh>
    <rPh sb="2" eb="4">
      <t>カク</t>
    </rPh>
    <phoneticPr fontId="5"/>
  </si>
  <si>
    <t>最大損失Pips</t>
    <rPh sb="0" eb="2">
      <t>サイダイ</t>
    </rPh>
    <rPh sb="2" eb="4">
      <t>ソンシツ</t>
    </rPh>
    <phoneticPr fontId="5"/>
  </si>
  <si>
    <t>最大利益</t>
    <rPh sb="0" eb="4">
      <t>サイダイリエキ</t>
    </rPh>
    <phoneticPr fontId="5"/>
  </si>
  <si>
    <t>最大損失</t>
    <rPh sb="0" eb="4">
      <t>サイダイソンシツ</t>
    </rPh>
    <phoneticPr fontId="5"/>
  </si>
  <si>
    <t>平均獲得Pips</t>
    <rPh sb="0" eb="2">
      <t>ヘイキン</t>
    </rPh>
    <rPh sb="2" eb="4">
      <t>カクトク</t>
    </rPh>
    <phoneticPr fontId="5"/>
  </si>
  <si>
    <t>平均損失Pips</t>
    <rPh sb="0" eb="2">
      <t>ヘイキ</t>
    </rPh>
    <rPh sb="2" eb="4">
      <t>ソン</t>
    </rPh>
    <phoneticPr fontId="5"/>
  </si>
  <si>
    <t>平均利益</t>
    <rPh sb="0" eb="4">
      <t>ヘイキンリエキ</t>
    </rPh>
    <phoneticPr fontId="5"/>
  </si>
  <si>
    <t>平均損失</t>
    <rPh sb="0" eb="4">
      <t>ヘイキンソンシツ</t>
    </rPh>
    <phoneticPr fontId="5"/>
  </si>
  <si>
    <t>合計獲得Pips</t>
    <rPh sb="0" eb="2">
      <t>ゴウケイ</t>
    </rPh>
    <rPh sb="2" eb="4">
      <t>カクトク</t>
    </rPh>
    <phoneticPr fontId="5"/>
  </si>
  <si>
    <t>合計損失Pips</t>
    <rPh sb="0" eb="2">
      <t>ゴウケイ</t>
    </rPh>
    <rPh sb="2" eb="4">
      <t>ソンシツ</t>
    </rPh>
    <phoneticPr fontId="5"/>
  </si>
  <si>
    <t>合計利益</t>
    <rPh sb="0" eb="4">
      <t>ゴウケイリエキ</t>
    </rPh>
    <phoneticPr fontId="5"/>
  </si>
  <si>
    <t>合計損失</t>
    <rPh sb="0" eb="4">
      <t>ゴウケイソンシツ</t>
    </rPh>
    <phoneticPr fontId="5"/>
  </si>
  <si>
    <t>PipRRR(I/J)</t>
  </si>
  <si>
    <t>PipPF(M/N)</t>
  </si>
  <si>
    <t>RRR(K/L)</t>
  </si>
  <si>
    <t>PF(O/P)</t>
  </si>
  <si>
    <t>平均Lot数</t>
    <rPh sb="0" eb="2">
      <t>ヘイキン</t>
    </rPh>
    <rPh sb="5" eb="6">
      <t>スウ</t>
    </rPh>
    <phoneticPr fontId="5"/>
  </si>
  <si>
    <t>ロング勝率</t>
    <rPh sb="3" eb="5">
      <t>ショウリツ</t>
    </rPh>
    <phoneticPr fontId="5"/>
  </si>
  <si>
    <t>ショート勝率</t>
    <rPh sb="4" eb="6">
      <t>ショウリツ</t>
    </rPh>
    <phoneticPr fontId="5"/>
  </si>
  <si>
    <t>勝率</t>
    <rPh sb="0" eb="2">
      <t>ショウリツ</t>
    </rPh>
    <phoneticPr fontId="5"/>
  </si>
  <si>
    <t>トレード回数</t>
    <rPh sb="4" eb="6">
      <t>カイスウ</t>
    </rPh>
    <phoneticPr fontId="5"/>
  </si>
  <si>
    <t>開始行</t>
    <rPh sb="0" eb="2">
      <t>カイシ</t>
    </rPh>
    <rPh sb="2" eb="3">
      <t>ギョウ</t>
    </rPh>
    <phoneticPr fontId="5"/>
  </si>
  <si>
    <t>終了行</t>
    <rPh sb="0" eb="3">
      <t>シュウリョウギョウ</t>
    </rPh>
    <phoneticPr fontId="5"/>
  </si>
  <si>
    <t>1月</t>
    <rPh sb="1" eb="2">
      <t>ツキ</t>
    </rPh>
    <phoneticPr fontId="2"/>
  </si>
  <si>
    <t>NZDUSD</t>
    <phoneticPr fontId="2"/>
  </si>
  <si>
    <t>CHFJPY</t>
    <phoneticPr fontId="2"/>
  </si>
  <si>
    <t>USDCAD</t>
    <phoneticPr fontId="2"/>
  </si>
  <si>
    <t>USDJPY</t>
    <phoneticPr fontId="2"/>
  </si>
  <si>
    <t>CADJPY</t>
    <phoneticPr fontId="2"/>
  </si>
  <si>
    <t>GBPJPY</t>
    <phoneticPr fontId="2"/>
  </si>
  <si>
    <t>AUDJPY</t>
    <phoneticPr fontId="2"/>
  </si>
  <si>
    <t>EURUSD</t>
    <phoneticPr fontId="2"/>
  </si>
  <si>
    <t>EURJPY</t>
    <phoneticPr fontId="2"/>
  </si>
  <si>
    <t>GBPJPY</t>
    <phoneticPr fontId="2"/>
  </si>
  <si>
    <t>EURGBP</t>
    <phoneticPr fontId="2"/>
  </si>
  <si>
    <t>GBPUSD</t>
    <phoneticPr fontId="2"/>
  </si>
  <si>
    <t>NZDJPY</t>
    <phoneticPr fontId="2"/>
  </si>
  <si>
    <t>CHFJPY</t>
    <phoneticPr fontId="2"/>
  </si>
  <si>
    <t>ショート</t>
    <phoneticPr fontId="2"/>
  </si>
  <si>
    <t>ロング</t>
    <phoneticPr fontId="2"/>
  </si>
  <si>
    <t>ショート</t>
    <phoneticPr fontId="2"/>
  </si>
  <si>
    <t>ショート</t>
    <phoneticPr fontId="2"/>
  </si>
  <si>
    <t>ロング</t>
    <phoneticPr fontId="2"/>
  </si>
  <si>
    <t>ショート</t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</si>
  <si>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</si>
  <si>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</si>
  <si>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4月</t>
    <rPh sb="1" eb="2">
      <t>ツキ</t>
    </rPh>
    <phoneticPr fontId="2"/>
  </si>
  <si>
    <t>開始行はその月のデータが入力されている行の番号を入力し、終了行はその月のデータが入力されている最後の行の番号を入力する。</t>
    <rPh sb="0" eb="2">
      <t>カイシギョウ</t>
    </rPh>
    <rPh sb="2" eb="3">
      <t>ギョウ</t>
    </rPh>
    <rPh sb="6" eb="7">
      <t>ツキ</t>
    </rPh>
    <rPh sb="12" eb="14">
      <t>ニュウリョク</t>
    </rPh>
    <rPh sb="19" eb="20">
      <t>ギョウ</t>
    </rPh>
    <rPh sb="21" eb="23">
      <t>バンゴウ</t>
    </rPh>
    <rPh sb="24" eb="26">
      <t>ニュウリョク</t>
    </rPh>
    <rPh sb="28" eb="30">
      <t>シュウリョウギョウ</t>
    </rPh>
    <rPh sb="30" eb="31">
      <t>ギョウ</t>
    </rPh>
    <rPh sb="34" eb="35">
      <t>ツキ</t>
    </rPh>
    <rPh sb="40" eb="42">
      <t>ニュウリョク</t>
    </rPh>
    <rPh sb="47" eb="49">
      <t>サイゴ</t>
    </rPh>
    <rPh sb="50" eb="51">
      <t>ギョウ</t>
    </rPh>
    <rPh sb="52" eb="54">
      <t>バンゴウ</t>
    </rPh>
    <rPh sb="55" eb="57">
      <t>ニュウリョク</t>
    </rPh>
    <phoneticPr fontId="2"/>
  </si>
  <si>
    <t>RRRとはリスクリワードレシオのことで平均利益/平均損失で算出できる。損益率、ペイオフレシオとも言う。</t>
    <rPh sb="19" eb="21">
      <t>ヘ</t>
    </rPh>
    <rPh sb="21" eb="23">
      <t>リエキ</t>
    </rPh>
    <rPh sb="24" eb="26">
      <t>ヘイキン</t>
    </rPh>
    <rPh sb="26" eb="28">
      <t>ソンシツ</t>
    </rPh>
    <rPh sb="29" eb="31">
      <t>サンシュツ</t>
    </rPh>
    <rPh sb="35" eb="38">
      <t>ソンエキリツ</t>
    </rPh>
    <rPh sb="48" eb="49">
      <t>イ</t>
    </rPh>
    <phoneticPr fontId="2"/>
  </si>
  <si>
    <t>PFとはプロフィットファクターのことで合計利益/合計損失で算出できる。数値が1以下だと損失が上回っているということ。</t>
    <rPh sb="19" eb="21">
      <t>ゴウケイ</t>
    </rPh>
    <rPh sb="21" eb="23">
      <t>リエキ</t>
    </rPh>
    <rPh sb="24" eb="26">
      <t>ゴウケイ</t>
    </rPh>
    <rPh sb="26" eb="28">
      <t>ソンシツ</t>
    </rPh>
    <rPh sb="29" eb="31">
      <t>サンシュツ</t>
    </rPh>
    <rPh sb="35" eb="37">
      <t>スウチ</t>
    </rPh>
    <rPh sb="39" eb="41">
      <t>イカ</t>
    </rPh>
    <rPh sb="43" eb="45">
      <t>ソンシツ</t>
    </rPh>
    <rPh sb="46" eb="48">
      <t>ウワマワ</t>
    </rPh>
    <phoneticPr fontId="2"/>
  </si>
  <si>
    <t>通貨</t>
    <rPh sb="0" eb="2">
      <t>ツウカ</t>
    </rPh>
    <phoneticPr fontId="2"/>
  </si>
  <si>
    <t>最大獲得Pips</t>
    <rPh sb="0" eb="2">
      <t>サイダイ</t>
    </rPh>
    <rPh sb="2" eb="4">
      <t>カクトク</t>
    </rPh>
    <phoneticPr fontId="4"/>
  </si>
  <si>
    <t>最大損失Pips</t>
    <rPh sb="0" eb="2">
      <t>サイダイ</t>
    </rPh>
    <rPh sb="2" eb="4">
      <t>ソン</t>
    </rPh>
    <phoneticPr fontId="4"/>
  </si>
  <si>
    <t>平均獲得Pips</t>
    <rPh sb="0" eb="2">
      <t>ヘイ</t>
    </rPh>
    <rPh sb="2" eb="4">
      <t>カクトク</t>
    </rPh>
    <phoneticPr fontId="4"/>
  </si>
  <si>
    <t>平均損失Pips</t>
    <rPh sb="0" eb="4">
      <t>ヘイキンソンシツ</t>
    </rPh>
    <phoneticPr fontId="4"/>
  </si>
  <si>
    <t>合計獲得Pips</t>
    <rPh sb="0" eb="2">
      <t>ゴウケイ</t>
    </rPh>
    <rPh sb="2" eb="4">
      <t>カクトク</t>
    </rPh>
    <phoneticPr fontId="4"/>
  </si>
  <si>
    <t>合計損失Pips</t>
    <rPh sb="0" eb="4">
      <t>ゴウケイソンシツ</t>
    </rPh>
    <phoneticPr fontId="4"/>
  </si>
  <si>
    <t>RRR(E/F)</t>
  </si>
  <si>
    <t>PF(G/H)</t>
  </si>
  <si>
    <t>勝率</t>
    <rPh sb="0" eb="2">
      <t>ショウリツ</t>
    </rPh>
    <phoneticPr fontId="4"/>
  </si>
  <si>
    <t>トレード回数</t>
    <rPh sb="4" eb="6">
      <t>カイスウ</t>
    </rPh>
    <phoneticPr fontId="4"/>
  </si>
  <si>
    <t>JPY</t>
    <phoneticPr fontId="2"/>
  </si>
  <si>
    <t>EUR</t>
    <phoneticPr fontId="2"/>
  </si>
  <si>
    <t>USD</t>
    <phoneticPr fontId="2"/>
  </si>
  <si>
    <t>GBP</t>
    <phoneticPr fontId="2"/>
  </si>
  <si>
    <t>AUD</t>
    <phoneticPr fontId="2"/>
  </si>
  <si>
    <t>CHF</t>
    <phoneticPr fontId="2"/>
  </si>
  <si>
    <t>NZD</t>
    <phoneticPr fontId="2"/>
  </si>
  <si>
    <t>CAD</t>
    <phoneticPr fontId="2"/>
  </si>
  <si>
    <t>日及び週ごとのデータについては、同じ日付のデータがある場合は一番最後のデータ行に計算されたデータが表示されます。</t>
    <rPh sb="0" eb="1">
      <t>ヒ</t>
    </rPh>
    <rPh sb="1" eb="2">
      <t>オヨ</t>
    </rPh>
    <rPh sb="3" eb="4">
      <t>シュウ</t>
    </rPh>
    <rPh sb="16" eb="17">
      <t>オナ</t>
    </rPh>
    <rPh sb="18" eb="20">
      <t>ヒヅケ</t>
    </rPh>
    <rPh sb="27" eb="29">
      <t>バアイ</t>
    </rPh>
    <rPh sb="30" eb="32">
      <t>イチバンサイ</t>
    </rPh>
    <rPh sb="32" eb="34">
      <t>サイゴ</t>
    </rPh>
    <rPh sb="38" eb="39">
      <t>ギョウ</t>
    </rPh>
    <rPh sb="40" eb="42">
      <t>ケイサン</t>
    </rPh>
    <rPh sb="49" eb="51">
      <t>ヒョウジ</t>
    </rPh>
    <phoneticPr fontId="2"/>
  </si>
  <si>
    <t>データベースで検索するための文字列→</t>
    <rPh sb="7" eb="9">
      <t>ケンサク</t>
    </rPh>
    <rPh sb="14" eb="17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</si>
</sst>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56" fontId="0" fillId="0" borderId="0" xfId="0" applyNumberFormat="1"/>
    <xf numFmtId="56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2" fontId="0" fillId="0" borderId="0" xfId="0" applyNumberFormat="1"/>
    <xf numFmtId="1" fontId="0" fillId="0" borderId="0" xfId="0" applyNumberFormat="1"/>
    <xf numFmtId="9" fontId="0" fillId="0" borderId="0" xfId="17" applyFont="1"/>
  </cellXfs>
  <cellStyles count="28">
    <cellStyle name="パーセント" xfId="17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</cellStyles>
  <dxfs count="1"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3</xdr:row>
      <xdr:rowOff>101600</xdr:rowOff>
    </xdr:from>
    <xdr:to>
      <xdr:col>17</xdr:col>
      <xdr:colOff>635000</xdr:colOff>
      <xdr:row>8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13817600" y="787400"/>
          <a:ext cx="34417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ドロップダウンリスト用の文字。自分で使うだけなら</a:t>
          </a:r>
          <a:endParaRPr kumimoji="1" lang="en-US" altLang="ja-JP" sz="1100"/>
        </a:p>
        <a:p>
          <a:r>
            <a:rPr kumimoji="1" lang="ja-JP" altLang="en-US" sz="1100"/>
            <a:t>リストから選択するより</a:t>
          </a:r>
          <a:endParaRPr kumimoji="1" lang="en-US" altLang="ja-JP" sz="1100"/>
        </a:p>
        <a:p>
          <a:r>
            <a:rPr kumimoji="1" lang="ja-JP" altLang="en-US" sz="1100"/>
            <a:t>毎回ロングかショート手入力したほうが早い。</a:t>
          </a:r>
          <a:endParaRPr kumimoji="1" lang="en-US" altLang="ja-JP" sz="1100"/>
        </a:p>
        <a:p>
          <a:r>
            <a:rPr kumimoji="1" lang="ja-JP" altLang="en-US" sz="1100"/>
            <a:t>その場合はドロップダウンリストの設定自体を消さないとエラー処理などが鬱陶しい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テーブル7" displayName="テーブル7" ref="A1:N40" totalsRowShown="0">
  <autoFilter ref="A1:N40"/>
  <tableColumns count="14">
    <tableColumn id="1" name="日付"/>
    <tableColumn id="2" name="通貨ペア"/>
    <tableColumn id="3" name="方向"/>
    <tableColumn id="4" name="ロット"/>
    <tableColumn id="5" name="Pips"/>
    <tableColumn id="6" name="損益"/>
    <tableColumn id="7" name="手数料" dataDxfId="0"/>
    <tableColumn id="8" name="累計Pips"/>
    <tableColumn id="9" name="累計損益"/>
    <tableColumn id="10" name="日Pips"/>
    <tableColumn id="11" name="日損益"/>
    <tableColumn id="12" name="週Pips"/>
    <tableColumn id="13" name="週損益"/>
    <tableColumn id="14" name="週">
      <calculatedColumnFormula>IF(テーブル7[[#This Row],[日付]]="","",YEAR(テーブル7[[#This Row],[日付]])&amp;"年"&amp;WEEKNUM(テーブル7[[#This Row],[日付]])&amp;"週目")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A6" sqref="A6"/>
    </sheetView>
  </sheetViews>
  <sheetFormatPr baseColWidth="12" defaultRowHeight="18" x14ac:dyDescent="0"/>
  <cols>
    <col min="7" max="7" width="12.83203125" style="4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 t="s">
        <v>6</v>
      </c>
      <c r="H1" t="s">
        <v>7</v>
      </c>
      <c r="I1" t="s">
        <v>8</v>
      </c>
      <c r="J1" t="s">
        <v>9</v>
      </c>
      <c r="K1" t="s">
        <v>11</v>
      </c>
      <c r="L1" t="s">
        <v>10</v>
      </c>
      <c r="M1" t="s">
        <v>12</v>
      </c>
      <c r="N1" t="s">
        <v>13</v>
      </c>
    </row>
    <row r="2" spans="1:16">
      <c r="A2" s="1">
        <v>42736</v>
      </c>
      <c r="B2" t="s">
        <v>14</v>
      </c>
      <c r="C2" t="s">
        <v>15</v>
      </c>
      <c r="D2">
        <v>0.1</v>
      </c>
      <c r="E2">
        <v>50</v>
      </c>
      <c r="F2">
        <v>5000</v>
      </c>
      <c r="G2" s="4">
        <v>-10</v>
      </c>
      <c r="H2">
        <v>50</v>
      </c>
      <c r="I2">
        <v>5000</v>
      </c>
      <c r="J2" s="3">
        <f ca="1">IF(OFFSET(テーブル7[[#This Row],[日付]],1,0,,)=テーブル7[[#This Row],[日付]],"",SUMIF(A:A,テーブル7[[#This Row],[日付]],E:E))</f>
        <v>50</v>
      </c>
      <c r="K2" s="3">
        <f ca="1">IF(OFFSET(テーブル7[[#This Row],[日付]],1,0,,)=テーブル7[[#This Row],[日付]],"",SUMIF(A:A,テーブル7[[#This Row],[日付]],F:F))</f>
        <v>5000</v>
      </c>
      <c r="L2" s="3" t="str">
        <f ca="1">IF(OFFSET(テーブル7[[#This Row],[週]],1,0,,)=テーブル7[[#This Row],[週]],"",SUMIF(N:N,テーブル7[[#This Row],[週]],E:E))</f>
        <v/>
      </c>
      <c r="M2" s="3" t="str">
        <f ca="1">IF(OFFSET(テーブル7[[#This Row],[週]],1,0,,)=テーブル7[[#This Row],[週]],"",SUMIF(N:N,テーブル7[[#This Row],[週]],F:F))</f>
        <v/>
      </c>
      <c r="N2" t="str">
        <f>IF(テーブル7[[#This Row],[日付]]="","",YEAR(テーブル7[[#This Row],[日付]])&amp;"年"&amp;WEEKNUM(テーブル7[[#This Row],[日付]])&amp;"週目")</f>
        <v>2017年1週目</v>
      </c>
      <c r="P2" t="s">
        <v>16</v>
      </c>
    </row>
    <row r="3" spans="1:16">
      <c r="A3" s="2">
        <v>42737</v>
      </c>
      <c r="B3" s="3" t="s">
        <v>19</v>
      </c>
      <c r="C3" s="3" t="s">
        <v>18</v>
      </c>
      <c r="D3" s="3">
        <v>0.1</v>
      </c>
      <c r="E3" s="3">
        <v>-100</v>
      </c>
      <c r="F3" s="3">
        <v>-10000</v>
      </c>
      <c r="G3" s="4">
        <v>-10</v>
      </c>
      <c r="H3" s="3">
        <f t="shared" ref="H3:I9" si="0">IF(A3="","",H2+E3)</f>
        <v>-50</v>
      </c>
      <c r="I3" s="3">
        <f t="shared" si="0"/>
        <v>-5000</v>
      </c>
      <c r="J3" s="3">
        <f ca="1">IF(OFFSET(テーブル7[[#This Row],[日付]],1,0,,)=テーブル7[[#This Row],[日付]],"",SUMIF(A:A,テーブル7[[#This Row],[日付]],E:E))</f>
        <v>-100</v>
      </c>
      <c r="K3" s="3">
        <f ca="1">IF(OFFSET(テーブル7[[#This Row],[日付]],1,0,,)=テーブル7[[#This Row],[日付]],"",SUMIF(A:A,テーブル7[[#This Row],[日付]],F:F))</f>
        <v>-10000</v>
      </c>
      <c r="L3" s="3">
        <f ca="1">IF(OFFSET(テーブル7[[#This Row],[週]],1,0,,)=テーブル7[[#This Row],[週]],"",SUMIF(N:N,テーブル7[[#This Row],[週]],E:E))</f>
        <v>-50</v>
      </c>
      <c r="M3" s="3">
        <f ca="1">IF(OFFSET(テーブル7[[#This Row],[週]],1,0,,)=テーブル7[[#This Row],[週]],"",SUMIF(N:N,テーブル7[[#This Row],[週]],F:F))</f>
        <v>-5000</v>
      </c>
      <c r="N3" s="3" t="str">
        <f>IF(テーブル7[[#This Row],[日付]]="","",YEAR(テーブル7[[#This Row],[日付]])&amp;"年"&amp;WEEKNUM(テーブル7[[#This Row],[日付]])&amp;"週目")</f>
        <v>2017年1週目</v>
      </c>
      <c r="P3" t="s">
        <v>18</v>
      </c>
    </row>
    <row r="4" spans="1:16">
      <c r="A4" s="2">
        <v>42744</v>
      </c>
      <c r="B4" s="3" t="s">
        <v>20</v>
      </c>
      <c r="C4" s="3" t="s">
        <v>18</v>
      </c>
      <c r="D4" s="3">
        <v>0.2</v>
      </c>
      <c r="E4" s="3">
        <v>75</v>
      </c>
      <c r="F4" s="3">
        <v>17500</v>
      </c>
      <c r="G4" s="5">
        <v>-20</v>
      </c>
      <c r="H4" s="3">
        <f t="shared" si="0"/>
        <v>25</v>
      </c>
      <c r="I4" s="3">
        <f t="shared" si="0"/>
        <v>12500</v>
      </c>
      <c r="J4" s="3" t="str">
        <f ca="1">IF(OFFSET(テーブル7[[#This Row],[日付]],1,0,,)=テーブル7[[#This Row],[日付]],"",SUMIF(A:A,テーブル7[[#This Row],[日付]],E:E))</f>
        <v/>
      </c>
      <c r="K4" s="3" t="str">
        <f ca="1">IF(OFFSET(テーブル7[[#This Row],[日付]],1,0,,)=テーブル7[[#This Row],[日付]],"",SUMIF(A:A,テーブル7[[#This Row],[日付]],F:F))</f>
        <v/>
      </c>
      <c r="L4" s="3" t="str">
        <f ca="1">IF(OFFSET(テーブル7[[#This Row],[週]],1,0,,)=テーブル7[[#This Row],[週]],"",SUMIF(N:N,テーブル7[[#This Row],[週]],E:E))</f>
        <v/>
      </c>
      <c r="M4" s="3" t="str">
        <f ca="1">IF(OFFSET(テーブル7[[#This Row],[週]],1,0,,)=テーブル7[[#This Row],[週]],"",SUMIF(N:N,テーブル7[[#This Row],[週]],F:F))</f>
        <v/>
      </c>
      <c r="N4" s="3" t="str">
        <f>IF(テーブル7[[#This Row],[日付]]="","",YEAR(テーブル7[[#This Row],[日付]])&amp;"年"&amp;WEEKNUM(テーブル7[[#This Row],[日付]])&amp;"週目")</f>
        <v>2017年2週目</v>
      </c>
    </row>
    <row r="5" spans="1:16">
      <c r="A5" s="2">
        <v>42744</v>
      </c>
      <c r="B5" s="3" t="s">
        <v>21</v>
      </c>
      <c r="C5" s="3" t="s">
        <v>15</v>
      </c>
      <c r="D5" s="3">
        <v>0.1</v>
      </c>
      <c r="E5" s="3">
        <v>200</v>
      </c>
      <c r="F5" s="3">
        <v>20000</v>
      </c>
      <c r="G5" s="5">
        <v>-10</v>
      </c>
      <c r="H5" s="3">
        <f t="shared" si="0"/>
        <v>225</v>
      </c>
      <c r="I5" s="3">
        <f t="shared" si="0"/>
        <v>32500</v>
      </c>
      <c r="J5" s="3" t="str">
        <f ca="1">IF(OFFSET(テーブル7[[#This Row],[日付]],1,0,,)=テーブル7[[#This Row],[日付]],"",SUMIF(A:A,テーブル7[[#This Row],[日付]],E:E))</f>
        <v/>
      </c>
      <c r="K5" s="3" t="str">
        <f ca="1">IF(OFFSET(テーブル7[[#This Row],[日付]],1,0,,)=テーブル7[[#This Row],[日付]],"",SUMIF(A:A,テーブル7[[#This Row],[日付]],F:F))</f>
        <v/>
      </c>
      <c r="L5" s="3" t="str">
        <f ca="1">IF(OFFSET(テーブル7[[#This Row],[週]],1,0,,)=テーブル7[[#This Row],[週]],"",SUMIF(N:N,テーブル7[[#This Row],[週]],E:E))</f>
        <v/>
      </c>
      <c r="M5" s="3" t="str">
        <f ca="1">IF(OFFSET(テーブル7[[#This Row],[週]],1,0,,)=テーブル7[[#This Row],[週]],"",SUMIF(N:N,テーブル7[[#This Row],[週]],F:F))</f>
        <v/>
      </c>
      <c r="N5" s="3" t="str">
        <f>IF(テーブル7[[#This Row],[日付]]="","",YEAR(テーブル7[[#This Row],[日付]])&amp;"年"&amp;WEEKNUM(テーブル7[[#This Row],[日付]])&amp;"週目")</f>
        <v>2017年2週目</v>
      </c>
    </row>
    <row r="6" spans="1:16">
      <c r="A6" s="2">
        <v>42744</v>
      </c>
      <c r="B6" s="3" t="s">
        <v>32</v>
      </c>
      <c r="C6" s="3" t="s">
        <v>15</v>
      </c>
      <c r="D6" s="3">
        <v>0.15</v>
      </c>
      <c r="E6" s="3">
        <v>100</v>
      </c>
      <c r="F6" s="3">
        <v>15000</v>
      </c>
      <c r="G6" s="5">
        <v>-15</v>
      </c>
      <c r="H6" s="3">
        <f t="shared" si="0"/>
        <v>325</v>
      </c>
      <c r="I6" s="3">
        <f t="shared" si="0"/>
        <v>47500</v>
      </c>
      <c r="J6" s="3">
        <f ca="1">IF(OFFSET(テーブル7[[#This Row],[日付]],1,0,,)=テーブル7[[#This Row],[日付]],"",SUMIF(A:A,テーブル7[[#This Row],[日付]],E:E))</f>
        <v>375</v>
      </c>
      <c r="K6" s="3">
        <f ca="1">IF(OFFSET(テーブル7[[#This Row],[日付]],1,0,,)=テーブル7[[#This Row],[日付]],"",SUMIF(A:A,テーブル7[[#This Row],[日付]],F:F))</f>
        <v>52500</v>
      </c>
      <c r="L6" s="3" t="str">
        <f ca="1">IF(OFFSET(テーブル7[[#This Row],[週]],1,0,,)=テーブル7[[#This Row],[週]],"",SUMIF(N:N,テーブル7[[#This Row],[週]],E:E))</f>
        <v/>
      </c>
      <c r="M6" s="3" t="str">
        <f ca="1">IF(OFFSET(テーブル7[[#This Row],[週]],1,0,,)=テーブル7[[#This Row],[週]],"",SUMIF(N:N,テーブル7[[#This Row],[週]],F:F))</f>
        <v/>
      </c>
      <c r="N6" s="3" t="str">
        <f>IF(テーブル7[[#This Row],[日付]]="","",YEAR(テーブル7[[#This Row],[日付]])&amp;"年"&amp;WEEKNUM(テーブル7[[#This Row],[日付]])&amp;"週目")</f>
        <v>2017年2週目</v>
      </c>
    </row>
    <row r="7" spans="1:16">
      <c r="A7" s="2">
        <v>42746</v>
      </c>
      <c r="B7" s="3" t="s">
        <v>22</v>
      </c>
      <c r="C7" s="3" t="s">
        <v>15</v>
      </c>
      <c r="D7" s="3">
        <v>0.15</v>
      </c>
      <c r="E7" s="3">
        <v>100</v>
      </c>
      <c r="F7" s="3">
        <v>15000</v>
      </c>
      <c r="G7" s="5">
        <v>-15</v>
      </c>
      <c r="H7" s="3">
        <f t="shared" si="0"/>
        <v>425</v>
      </c>
      <c r="I7" s="3">
        <f t="shared" si="0"/>
        <v>62500</v>
      </c>
      <c r="J7" s="3">
        <f ca="1">IF(OFFSET(テーブル7[[#This Row],[日付]],1,0,,)=テーブル7[[#This Row],[日付]],"",SUMIF(A:A,テーブル7[[#This Row],[日付]],E:E))</f>
        <v>100</v>
      </c>
      <c r="K7" s="3">
        <f ca="1">IF(OFFSET(テーブル7[[#This Row],[日付]],1,0,,)=テーブル7[[#This Row],[日付]],"",SUMIF(A:A,テーブル7[[#This Row],[日付]],F:F))</f>
        <v>15000</v>
      </c>
      <c r="L7" s="3" t="str">
        <f ca="1">IF(OFFSET(テーブル7[[#This Row],[週]],1,0,,)=テーブル7[[#This Row],[週]],"",SUMIF(N:N,テーブル7[[#This Row],[週]],E:E))</f>
        <v/>
      </c>
      <c r="M7" s="3" t="str">
        <f ca="1">IF(OFFSET(テーブル7[[#This Row],[週]],1,0,,)=テーブル7[[#This Row],[週]],"",SUMIF(N:N,テーブル7[[#This Row],[週]],F:F))</f>
        <v/>
      </c>
      <c r="N7" s="3" t="str">
        <f>IF(テーブル7[[#This Row],[日付]]="","",YEAR(テーブル7[[#This Row],[日付]])&amp;"年"&amp;WEEKNUM(テーブル7[[#This Row],[日付]])&amp;"週目")</f>
        <v>2017年2週目</v>
      </c>
    </row>
    <row r="8" spans="1:16">
      <c r="A8" s="2">
        <v>42747</v>
      </c>
      <c r="B8" s="3" t="s">
        <v>20</v>
      </c>
      <c r="C8" s="3" t="s">
        <v>17</v>
      </c>
      <c r="D8" s="3">
        <v>0.3</v>
      </c>
      <c r="E8" s="3">
        <v>-50</v>
      </c>
      <c r="F8" s="3">
        <v>-15000</v>
      </c>
      <c r="G8" s="5">
        <v>-30</v>
      </c>
      <c r="H8" s="3">
        <f t="shared" si="0"/>
        <v>375</v>
      </c>
      <c r="I8" s="3">
        <f t="shared" si="0"/>
        <v>47500</v>
      </c>
      <c r="J8" s="3">
        <f ca="1">IF(OFFSET(テーブル7[[#This Row],[日付]],1,0,,)=テーブル7[[#This Row],[日付]],"",SUMIF(A:A,テーブル7[[#This Row],[日付]],E:E))</f>
        <v>-50</v>
      </c>
      <c r="K8" s="3">
        <f ca="1">IF(OFFSET(テーブル7[[#This Row],[日付]],1,0,,)=テーブル7[[#This Row],[日付]],"",SUMIF(A:A,テーブル7[[#This Row],[日付]],F:F))</f>
        <v>-15000</v>
      </c>
      <c r="L8" s="3">
        <f ca="1">IF(OFFSET(テーブル7[[#This Row],[週]],1,0,,)=テーブル7[[#This Row],[週]],"",SUMIF(N:N,テーブル7[[#This Row],[週]],E:E))</f>
        <v>425</v>
      </c>
      <c r="M8" s="3">
        <f ca="1">IF(OFFSET(テーブル7[[#This Row],[週]],1,0,,)=テーブル7[[#This Row],[週]],"",SUMIF(N:N,テーブル7[[#This Row],[週]],F:F))</f>
        <v>52500</v>
      </c>
      <c r="N8" s="3" t="str">
        <f>IF(テーブル7[[#This Row],[日付]]="","",YEAR(テーブル7[[#This Row],[日付]])&amp;"年"&amp;WEEKNUM(テーブル7[[#This Row],[日付]])&amp;"週目")</f>
        <v>2017年2週目</v>
      </c>
    </row>
    <row r="9" spans="1:16">
      <c r="A9" s="2">
        <v>42757</v>
      </c>
      <c r="B9" s="3" t="s">
        <v>23</v>
      </c>
      <c r="C9" s="3" t="s">
        <v>24</v>
      </c>
      <c r="D9" s="3">
        <v>0.5</v>
      </c>
      <c r="E9" s="3">
        <v>500</v>
      </c>
      <c r="F9" s="3">
        <v>250000</v>
      </c>
      <c r="G9" s="5">
        <v>-50</v>
      </c>
      <c r="H9" s="3">
        <f t="shared" si="0"/>
        <v>875</v>
      </c>
      <c r="I9" s="3">
        <f t="shared" si="0"/>
        <v>297500</v>
      </c>
      <c r="J9" s="3">
        <f ca="1">IF(OFFSET(テーブル7[[#This Row],[日付]],1,0,,)=テーブル7[[#This Row],[日付]],"",SUMIF(A:A,テーブル7[[#This Row],[日付]],E:E))</f>
        <v>500</v>
      </c>
      <c r="K9" s="3">
        <f ca="1">IF(OFFSET(テーブル7[[#This Row],[日付]],1,0,,)=テーブル7[[#This Row],[日付]],"",SUMIF(A:A,テーブル7[[#This Row],[日付]],F:F))</f>
        <v>250000</v>
      </c>
      <c r="L9" s="3" t="str">
        <f ca="1">IF(OFFSET(テーブル7[[#This Row],[週]],1,0,,)=テーブル7[[#This Row],[週]],"",SUMIF(N:N,テーブル7[[#This Row],[週]],E:E))</f>
        <v/>
      </c>
      <c r="M9" s="3" t="str">
        <f ca="1">IF(OFFSET(テーブル7[[#This Row],[週]],1,0,,)=テーブル7[[#This Row],[週]],"",SUMIF(N:N,テーブル7[[#This Row],[週]],F:F))</f>
        <v/>
      </c>
      <c r="N9" s="3" t="str">
        <f>IF(テーブル7[[#This Row],[日付]]="","",YEAR(テーブル7[[#This Row],[日付]])&amp;"年"&amp;WEEKNUM(テーブル7[[#This Row],[日付]])&amp;"週目")</f>
        <v>2017年4週目</v>
      </c>
    </row>
    <row r="10" spans="1:16">
      <c r="A10" s="2">
        <v>42760</v>
      </c>
      <c r="B10" s="3" t="s">
        <v>31</v>
      </c>
      <c r="C10" s="3" t="s">
        <v>24</v>
      </c>
      <c r="D10" s="3">
        <v>0.5</v>
      </c>
      <c r="E10" s="3">
        <v>-300</v>
      </c>
      <c r="F10" s="3">
        <v>-150000</v>
      </c>
      <c r="G10" s="5">
        <v>-50</v>
      </c>
      <c r="H10" s="3">
        <f t="shared" ref="H10:H40" si="1">IF(A10="","",H9+E10)</f>
        <v>575</v>
      </c>
      <c r="I10" s="3">
        <f t="shared" ref="I10:I40" si="2">IF(B10="","",I9+F10)</f>
        <v>147500</v>
      </c>
      <c r="J10" s="3">
        <f ca="1">IF(OFFSET(テーブル7[[#This Row],[日付]],1,0,,)=テーブル7[[#This Row],[日付]],"",SUMIF(A:A,テーブル7[[#This Row],[日付]],E:E))</f>
        <v>-300</v>
      </c>
      <c r="K10" s="3">
        <f ca="1">IF(OFFSET(テーブル7[[#This Row],[日付]],1,0,,)=テーブル7[[#This Row],[日付]],"",SUMIF(A:A,テーブル7[[#This Row],[日付]],F:F))</f>
        <v>-150000</v>
      </c>
      <c r="L10" s="3" t="str">
        <f ca="1">IF(OFFSET(テーブル7[[#This Row],[週]],1,0,,)=テーブル7[[#This Row],[週]],"",SUMIF(N:N,テーブル7[[#This Row],[週]],E:E))</f>
        <v/>
      </c>
      <c r="M10" s="3" t="str">
        <f ca="1">IF(OFFSET(テーブル7[[#This Row],[週]],1,0,,)=テーブル7[[#This Row],[週]],"",SUMIF(N:N,テーブル7[[#This Row],[週]],F:F))</f>
        <v/>
      </c>
      <c r="N10" s="3" t="str">
        <f>IF(テーブル7[[#This Row],[日付]]="","",YEAR(テーブル7[[#This Row],[日付]])&amp;"年"&amp;WEEKNUM(テーブル7[[#This Row],[日付]])&amp;"週目")</f>
        <v>2017年4週目</v>
      </c>
    </row>
    <row r="11" spans="1:16">
      <c r="A11" s="2">
        <v>42762</v>
      </c>
      <c r="B11" s="3" t="s">
        <v>23</v>
      </c>
      <c r="C11" s="3" t="s">
        <v>24</v>
      </c>
      <c r="D11" s="3">
        <v>0.7</v>
      </c>
      <c r="E11" s="3">
        <v>100</v>
      </c>
      <c r="F11" s="3">
        <v>70000</v>
      </c>
      <c r="G11" s="5">
        <v>-70</v>
      </c>
      <c r="H11" s="3">
        <f t="shared" si="1"/>
        <v>675</v>
      </c>
      <c r="I11" s="3">
        <f t="shared" si="2"/>
        <v>217500</v>
      </c>
      <c r="J11" s="3">
        <f ca="1">IF(OFFSET(テーブル7[[#This Row],[日付]],1,0,,)=テーブル7[[#This Row],[日付]],"",SUMIF(A:A,テーブル7[[#This Row],[日付]],E:E))</f>
        <v>100</v>
      </c>
      <c r="K11" s="3">
        <f ca="1">IF(OFFSET(テーブル7[[#This Row],[日付]],1,0,,)=テーブル7[[#This Row],[日付]],"",SUMIF(A:A,テーブル7[[#This Row],[日付]],F:F))</f>
        <v>70000</v>
      </c>
      <c r="L11" s="3">
        <f ca="1">IF(OFFSET(テーブル7[[#This Row],[週]],1,0,,)=テーブル7[[#This Row],[週]],"",SUMIF(N:N,テーブル7[[#This Row],[週]],E:E))</f>
        <v>300</v>
      </c>
      <c r="M11" s="3">
        <f ca="1">IF(OFFSET(テーブル7[[#This Row],[週]],1,0,,)=テーブル7[[#This Row],[週]],"",SUMIF(N:N,テーブル7[[#This Row],[週]],F:F))</f>
        <v>170000</v>
      </c>
      <c r="N11" s="3" t="str">
        <f>IF(テーブル7[[#This Row],[日付]]="","",YEAR(テーブル7[[#This Row],[日付]])&amp;"年"&amp;WEEKNUM(テーブル7[[#This Row],[日付]])&amp;"週目")</f>
        <v>2017年4週目</v>
      </c>
    </row>
    <row r="12" spans="1:16">
      <c r="A12" s="2">
        <v>42766</v>
      </c>
      <c r="B12" s="3" t="s">
        <v>29</v>
      </c>
      <c r="C12" s="3" t="s">
        <v>18</v>
      </c>
      <c r="D12" s="3">
        <v>0.7</v>
      </c>
      <c r="E12" s="3">
        <v>200</v>
      </c>
      <c r="F12" s="3">
        <v>140000</v>
      </c>
      <c r="G12" s="5">
        <v>-70</v>
      </c>
      <c r="H12" s="3">
        <f t="shared" si="1"/>
        <v>875</v>
      </c>
      <c r="I12" s="3">
        <f t="shared" si="2"/>
        <v>357500</v>
      </c>
      <c r="J12" s="3">
        <f ca="1">IF(OFFSET(テーブル7[[#This Row],[日付]],1,0,,)=テーブル7[[#This Row],[日付]],"",SUMIF(A:A,テーブル7[[#This Row],[日付]],E:E))</f>
        <v>200</v>
      </c>
      <c r="K12" s="3">
        <f ca="1">IF(OFFSET(テーブル7[[#This Row],[日付]],1,0,,)=テーブル7[[#This Row],[日付]],"",SUMIF(A:A,テーブル7[[#This Row],[日付]],F:F))</f>
        <v>140000</v>
      </c>
      <c r="L12" s="3" t="str">
        <f ca="1">IF(OFFSET(テーブル7[[#This Row],[週]],1,0,,)=テーブル7[[#This Row],[週]],"",SUMIF(N:N,テーブル7[[#This Row],[週]],E:E))</f>
        <v/>
      </c>
      <c r="M12" s="3" t="str">
        <f ca="1">IF(OFFSET(テーブル7[[#This Row],[週]],1,0,,)=テーブル7[[#This Row],[週]],"",SUMIF(N:N,テーブル7[[#This Row],[週]],F:F))</f>
        <v/>
      </c>
      <c r="N12" s="3" t="str">
        <f>IF(テーブル7[[#This Row],[日付]]="","",YEAR(テーブル7[[#This Row],[日付]])&amp;"年"&amp;WEEKNUM(テーブル7[[#This Row],[日付]])&amp;"週目")</f>
        <v>2017年5週目</v>
      </c>
    </row>
    <row r="13" spans="1:16">
      <c r="A13" s="2">
        <v>42767</v>
      </c>
      <c r="B13" s="3" t="s">
        <v>30</v>
      </c>
      <c r="C13" s="3" t="s">
        <v>18</v>
      </c>
      <c r="D13" s="3">
        <v>0.8</v>
      </c>
      <c r="E13" s="3">
        <v>-100</v>
      </c>
      <c r="F13" s="3">
        <v>-80000</v>
      </c>
      <c r="G13" s="5">
        <v>-80</v>
      </c>
      <c r="H13" s="3">
        <f t="shared" si="1"/>
        <v>775</v>
      </c>
      <c r="I13" s="3">
        <f t="shared" si="2"/>
        <v>277500</v>
      </c>
      <c r="J13" s="3" t="str">
        <f ca="1">IF(OFFSET(テーブル7[[#This Row],[日付]],1,0,,)=テーブル7[[#This Row],[日付]],"",SUMIF(A:A,テーブル7[[#This Row],[日付]],E:E))</f>
        <v/>
      </c>
      <c r="K13" s="3" t="str">
        <f ca="1">IF(OFFSET(テーブル7[[#This Row],[日付]],1,0,,)=テーブル7[[#This Row],[日付]],"",SUMIF(A:A,テーブル7[[#This Row],[日付]],F:F))</f>
        <v/>
      </c>
      <c r="L13" s="3" t="str">
        <f ca="1">IF(OFFSET(テーブル7[[#This Row],[週]],1,0,,)=テーブル7[[#This Row],[週]],"",SUMIF(N:N,テーブル7[[#This Row],[週]],E:E))</f>
        <v/>
      </c>
      <c r="M13" s="3" t="str">
        <f ca="1">IF(OFFSET(テーブル7[[#This Row],[週]],1,0,,)=テーブル7[[#This Row],[週]],"",SUMIF(N:N,テーブル7[[#This Row],[週]],F:F))</f>
        <v/>
      </c>
      <c r="N13" s="3" t="str">
        <f>IF(テーブル7[[#This Row],[日付]]="","",YEAR(テーブル7[[#This Row],[日付]])&amp;"年"&amp;WEEKNUM(テーブル7[[#This Row],[日付]])&amp;"週目")</f>
        <v>2017年5週目</v>
      </c>
    </row>
    <row r="14" spans="1:16">
      <c r="A14" s="2">
        <v>42767</v>
      </c>
      <c r="B14" s="3" t="s">
        <v>62</v>
      </c>
      <c r="C14" s="3" t="s">
        <v>76</v>
      </c>
      <c r="D14" s="3">
        <v>1</v>
      </c>
      <c r="E14" s="3">
        <v>10</v>
      </c>
      <c r="F14" s="3">
        <v>10000</v>
      </c>
      <c r="G14" s="5">
        <f>テーブル7[[#This Row],[ロット]]*100</f>
        <v>100</v>
      </c>
      <c r="H14" s="3">
        <f t="shared" si="1"/>
        <v>785</v>
      </c>
      <c r="I14" s="3">
        <f t="shared" si="2"/>
        <v>287500</v>
      </c>
      <c r="J14" s="3" t="str">
        <f ca="1">IF(OFFSET(テーブル7[[#This Row],[日付]],1,0,,)=テーブル7[[#This Row],[日付]],"",SUMIF(A:A,テーブル7[[#This Row],[日付]],E:E))</f>
        <v/>
      </c>
      <c r="K14" s="3" t="str">
        <f ca="1">IF(OFFSET(テーブル7[[#This Row],[日付]],1,0,,)=テーブル7[[#This Row],[日付]],"",SUMIF(A:A,テーブル7[[#This Row],[日付]],F:F))</f>
        <v/>
      </c>
      <c r="L14" s="3" t="str">
        <f ca="1">IF(OFFSET(テーブル7[[#This Row],[週]],1,0,,)=テーブル7[[#This Row],[週]],"",SUMIF(N:N,テーブル7[[#This Row],[週]],E:E))</f>
        <v/>
      </c>
      <c r="M14" s="3" t="str">
        <f ca="1">IF(OFFSET(テーブル7[[#This Row],[週]],1,0,,)=テーブル7[[#This Row],[週]],"",SUMIF(N:N,テーブル7[[#This Row],[週]],F:F))</f>
        <v/>
      </c>
      <c r="N14" s="3" t="str">
        <f>IF(テーブル7[[#This Row],[日付]]="","",YEAR(テーブル7[[#This Row],[日付]])&amp;"年"&amp;WEEKNUM(テーブル7[[#This Row],[日付]])&amp;"週目")</f>
        <v>2017年5週目</v>
      </c>
    </row>
    <row r="15" spans="1:16">
      <c r="A15" s="2">
        <v>42767</v>
      </c>
      <c r="B15" s="3" t="s">
        <v>63</v>
      </c>
      <c r="C15" s="3" t="s">
        <v>76</v>
      </c>
      <c r="D15" s="3">
        <v>1</v>
      </c>
      <c r="E15" s="3">
        <v>20</v>
      </c>
      <c r="F15" s="3">
        <v>20000</v>
      </c>
      <c r="G15" s="5">
        <f>テーブル7[[#This Row],[ロット]]*100</f>
        <v>100</v>
      </c>
      <c r="H15" s="3">
        <f t="shared" si="1"/>
        <v>805</v>
      </c>
      <c r="I15" s="3">
        <f t="shared" si="2"/>
        <v>307500</v>
      </c>
      <c r="J15" s="3" t="str">
        <f ca="1">IF(OFFSET(テーブル7[[#This Row],[日付]],1,0,,)=テーブル7[[#This Row],[日付]],"",SUMIF(A:A,テーブル7[[#This Row],[日付]],E:E))</f>
        <v/>
      </c>
      <c r="K15" s="3" t="str">
        <f ca="1">IF(OFFSET(テーブル7[[#This Row],[日付]],1,0,,)=テーブル7[[#This Row],[日付]],"",SUMIF(A:A,テーブル7[[#This Row],[日付]],F:F))</f>
        <v/>
      </c>
      <c r="L15" s="3" t="str">
        <f ca="1">IF(OFFSET(テーブル7[[#This Row],[週]],1,0,,)=テーブル7[[#This Row],[週]],"",SUMIF(N:N,テーブル7[[#This Row],[週]],E:E))</f>
        <v/>
      </c>
      <c r="M15" s="3" t="str">
        <f ca="1">IF(OFFSET(テーブル7[[#This Row],[週]],1,0,,)=テーブル7[[#This Row],[週]],"",SUMIF(N:N,テーブル7[[#This Row],[週]],F:F))</f>
        <v/>
      </c>
      <c r="N15" s="3" t="str">
        <f>IF(テーブル7[[#This Row],[日付]]="","",YEAR(テーブル7[[#This Row],[日付]])&amp;"年"&amp;WEEKNUM(テーブル7[[#This Row],[日付]])&amp;"週目")</f>
        <v>2017年5週目</v>
      </c>
    </row>
    <row r="16" spans="1:16">
      <c r="A16" s="2">
        <v>42767</v>
      </c>
      <c r="B16" s="3" t="s">
        <v>63</v>
      </c>
      <c r="C16" s="3" t="s">
        <v>77</v>
      </c>
      <c r="D16" s="3">
        <v>1</v>
      </c>
      <c r="E16" s="3">
        <v>20</v>
      </c>
      <c r="F16" s="3">
        <v>20000</v>
      </c>
      <c r="G16" s="5">
        <f>テーブル7[[#This Row],[ロット]]*100</f>
        <v>100</v>
      </c>
      <c r="H16" s="3">
        <f t="shared" si="1"/>
        <v>825</v>
      </c>
      <c r="I16" s="3">
        <f t="shared" si="2"/>
        <v>327500</v>
      </c>
      <c r="J16" s="3">
        <f ca="1">IF(OFFSET(テーブル7[[#This Row],[日付]],1,0,,)=テーブル7[[#This Row],[日付]],"",SUMIF(A:A,テーブル7[[#This Row],[日付]],E:E))</f>
        <v>-50</v>
      </c>
      <c r="K16" s="3">
        <f ca="1">IF(OFFSET(テーブル7[[#This Row],[日付]],1,0,,)=テーブル7[[#This Row],[日付]],"",SUMIF(A:A,テーブル7[[#This Row],[日付]],F:F))</f>
        <v>-30000</v>
      </c>
      <c r="L16" s="3">
        <f ca="1">IF(OFFSET(テーブル7[[#This Row],[週]],1,0,,)=テーブル7[[#This Row],[週]],"",SUMIF(N:N,テーブル7[[#This Row],[週]],E:E))</f>
        <v>150</v>
      </c>
      <c r="M16" s="3">
        <f ca="1">IF(OFFSET(テーブル7[[#This Row],[週]],1,0,,)=テーブル7[[#This Row],[週]],"",SUMIF(N:N,テーブル7[[#This Row],[週]],F:F))</f>
        <v>110000</v>
      </c>
      <c r="N16" s="3" t="str">
        <f>IF(テーブル7[[#This Row],[日付]]="","",YEAR(テーブル7[[#This Row],[日付]])&amp;"年"&amp;WEEKNUM(テーブル7[[#This Row],[日付]])&amp;"週目")</f>
        <v>2017年5週目</v>
      </c>
    </row>
    <row r="17" spans="1:14">
      <c r="A17" s="2">
        <v>42773</v>
      </c>
      <c r="B17" s="3" t="s">
        <v>63</v>
      </c>
      <c r="C17" s="3" t="s">
        <v>78</v>
      </c>
      <c r="D17" s="3">
        <v>1</v>
      </c>
      <c r="E17" s="3">
        <v>-20</v>
      </c>
      <c r="F17" s="3">
        <v>-20000</v>
      </c>
      <c r="G17" s="5">
        <f>テーブル7[[#This Row],[ロット]]*100</f>
        <v>100</v>
      </c>
      <c r="H17" s="3">
        <f t="shared" si="1"/>
        <v>805</v>
      </c>
      <c r="I17" s="3">
        <f t="shared" si="2"/>
        <v>307500</v>
      </c>
      <c r="J17" s="3" t="str">
        <f ca="1">IF(OFFSET(テーブル7[[#This Row],[日付]],1,0,,)=テーブル7[[#This Row],[日付]],"",SUMIF(A:A,テーブル7[[#This Row],[日付]],E:E))</f>
        <v/>
      </c>
      <c r="K17" s="3" t="str">
        <f ca="1">IF(OFFSET(テーブル7[[#This Row],[日付]],1,0,,)=テーブル7[[#This Row],[日付]],"",SUMIF(A:A,テーブル7[[#This Row],[日付]],F:F))</f>
        <v/>
      </c>
      <c r="L17" s="3" t="str">
        <f ca="1">IF(OFFSET(テーブル7[[#This Row],[週]],1,0,,)=テーブル7[[#This Row],[週]],"",SUMIF(N:N,テーブル7[[#This Row],[週]],E:E))</f>
        <v/>
      </c>
      <c r="M17" s="3" t="str">
        <f ca="1">IF(OFFSET(テーブル7[[#This Row],[週]],1,0,,)=テーブル7[[#This Row],[週]],"",SUMIF(N:N,テーブル7[[#This Row],[週]],F:F))</f>
        <v/>
      </c>
      <c r="N17" s="3" t="str">
        <f>IF(テーブル7[[#This Row],[日付]]="","",YEAR(テーブル7[[#This Row],[日付]])&amp;"年"&amp;WEEKNUM(テーブル7[[#This Row],[日付]])&amp;"週目")</f>
        <v>2017年6週目</v>
      </c>
    </row>
    <row r="18" spans="1:14">
      <c r="A18" s="2">
        <v>42773</v>
      </c>
      <c r="B18" s="3" t="s">
        <v>64</v>
      </c>
      <c r="C18" s="3" t="s">
        <v>77</v>
      </c>
      <c r="D18" s="3">
        <v>1</v>
      </c>
      <c r="E18" s="3">
        <v>50</v>
      </c>
      <c r="F18" s="3">
        <v>50000</v>
      </c>
      <c r="G18" s="5">
        <f>テーブル7[[#This Row],[ロット]]*100</f>
        <v>100</v>
      </c>
      <c r="H18" s="3">
        <f t="shared" si="1"/>
        <v>855</v>
      </c>
      <c r="I18" s="3">
        <f t="shared" si="2"/>
        <v>357500</v>
      </c>
      <c r="J18" s="3">
        <f ca="1">IF(OFFSET(テーブル7[[#This Row],[日付]],1,0,,)=テーブル7[[#This Row],[日付]],"",SUMIF(A:A,テーブル7[[#This Row],[日付]],E:E))</f>
        <v>30</v>
      </c>
      <c r="K18" s="3">
        <f ca="1">IF(OFFSET(テーブル7[[#This Row],[日付]],1,0,,)=テーブル7[[#This Row],[日付]],"",SUMIF(A:A,テーブル7[[#This Row],[日付]],F:F))</f>
        <v>30000</v>
      </c>
      <c r="L18" s="3">
        <f ca="1">IF(OFFSET(テーブル7[[#This Row],[週]],1,0,,)=テーブル7[[#This Row],[週]],"",SUMIF(N:N,テーブル7[[#This Row],[週]],E:E))</f>
        <v>30</v>
      </c>
      <c r="M18" s="3">
        <f ca="1">IF(OFFSET(テーブル7[[#This Row],[週]],1,0,,)=テーブル7[[#This Row],[週]],"",SUMIF(N:N,テーブル7[[#This Row],[週]],F:F))</f>
        <v>30000</v>
      </c>
      <c r="N18" s="3" t="str">
        <f>IF(テーブル7[[#This Row],[日付]]="","",YEAR(テーブル7[[#This Row],[日付]])&amp;"年"&amp;WEEKNUM(テーブル7[[#This Row],[日付]])&amp;"週目")</f>
        <v>2017年6週目</v>
      </c>
    </row>
    <row r="19" spans="1:14">
      <c r="A19" s="2">
        <v>42778</v>
      </c>
      <c r="B19" s="3" t="s">
        <v>65</v>
      </c>
      <c r="C19" s="3" t="s">
        <v>76</v>
      </c>
      <c r="D19" s="3">
        <v>1</v>
      </c>
      <c r="E19" s="3">
        <v>-20</v>
      </c>
      <c r="F19" s="3">
        <v>-20000</v>
      </c>
      <c r="G19" s="5">
        <f>テーブル7[[#This Row],[ロット]]*100</f>
        <v>100</v>
      </c>
      <c r="H19" s="3">
        <f t="shared" si="1"/>
        <v>835</v>
      </c>
      <c r="I19" s="3">
        <f t="shared" si="2"/>
        <v>337500</v>
      </c>
      <c r="J19" s="3">
        <f ca="1">IF(OFFSET(テーブル7[[#This Row],[日付]],1,0,,)=テーブル7[[#This Row],[日付]],"",SUMIF(A:A,テーブル7[[#This Row],[日付]],E:E))</f>
        <v>-20</v>
      </c>
      <c r="K19" s="3">
        <f ca="1">IF(OFFSET(テーブル7[[#This Row],[日付]],1,0,,)=テーブル7[[#This Row],[日付]],"",SUMIF(A:A,テーブル7[[#This Row],[日付]],F:F))</f>
        <v>-20000</v>
      </c>
      <c r="L19" s="3" t="str">
        <f ca="1">IF(OFFSET(テーブル7[[#This Row],[週]],1,0,,)=テーブル7[[#This Row],[週]],"",SUMIF(N:N,テーブル7[[#This Row],[週]],E:E))</f>
        <v/>
      </c>
      <c r="M19" s="3" t="str">
        <f ca="1">IF(OFFSET(テーブル7[[#This Row],[週]],1,0,,)=テーブル7[[#This Row],[週]],"",SUMIF(N:N,テーブル7[[#This Row],[週]],F:F))</f>
        <v/>
      </c>
      <c r="N19" s="3" t="str">
        <f>IF(テーブル7[[#This Row],[日付]]="","",YEAR(テーブル7[[#This Row],[日付]])&amp;"年"&amp;WEEKNUM(テーブル7[[#This Row],[日付]])&amp;"週目")</f>
        <v>2017年7週目</v>
      </c>
    </row>
    <row r="20" spans="1:14">
      <c r="A20" s="2">
        <v>42783</v>
      </c>
      <c r="B20" s="3" t="s">
        <v>66</v>
      </c>
      <c r="C20" s="3" t="s">
        <v>76</v>
      </c>
      <c r="D20" s="3">
        <v>1</v>
      </c>
      <c r="E20" s="3">
        <v>-30</v>
      </c>
      <c r="F20" s="3">
        <v>-30000</v>
      </c>
      <c r="G20" s="5">
        <f>テーブル7[[#This Row],[ロット]]*100</f>
        <v>100</v>
      </c>
      <c r="H20" s="3">
        <f t="shared" si="1"/>
        <v>805</v>
      </c>
      <c r="I20" s="3">
        <f t="shared" si="2"/>
        <v>307500</v>
      </c>
      <c r="J20" s="3">
        <f ca="1">IF(OFFSET(テーブル7[[#This Row],[日付]],1,0,,)=テーブル7[[#This Row],[日付]],"",SUMIF(A:A,テーブル7[[#This Row],[日付]],E:E))</f>
        <v>-30</v>
      </c>
      <c r="K20" s="3">
        <f ca="1">IF(OFFSET(テーブル7[[#This Row],[日付]],1,0,,)=テーブル7[[#This Row],[日付]],"",SUMIF(A:A,テーブル7[[#This Row],[日付]],F:F))</f>
        <v>-30000</v>
      </c>
      <c r="L20" s="3">
        <f ca="1">IF(OFFSET(テーブル7[[#This Row],[週]],1,0,,)=テーブル7[[#This Row],[週]],"",SUMIF(N:N,テーブル7[[#This Row],[週]],E:E))</f>
        <v>-50</v>
      </c>
      <c r="M20" s="3">
        <f ca="1">IF(OFFSET(テーブル7[[#This Row],[週]],1,0,,)=テーブル7[[#This Row],[週]],"",SUMIF(N:N,テーブル7[[#This Row],[週]],F:F))</f>
        <v>-50000</v>
      </c>
      <c r="N20" s="3" t="str">
        <f>IF(テーブル7[[#This Row],[日付]]="","",YEAR(テーブル7[[#This Row],[日付]])&amp;"年"&amp;WEEKNUM(テーブル7[[#This Row],[日付]])&amp;"週目")</f>
        <v>2017年7週目</v>
      </c>
    </row>
    <row r="21" spans="1:14">
      <c r="A21" s="2">
        <v>42785</v>
      </c>
      <c r="B21" s="3" t="s">
        <v>67</v>
      </c>
      <c r="C21" s="3" t="s">
        <v>76</v>
      </c>
      <c r="D21" s="3">
        <v>1</v>
      </c>
      <c r="E21" s="3">
        <v>-40</v>
      </c>
      <c r="F21" s="3">
        <v>-4000</v>
      </c>
      <c r="G21" s="5">
        <f>テーブル7[[#This Row],[ロット]]*100</f>
        <v>100</v>
      </c>
      <c r="H21" s="3">
        <f t="shared" si="1"/>
        <v>765</v>
      </c>
      <c r="I21" s="3">
        <f t="shared" si="2"/>
        <v>303500</v>
      </c>
      <c r="J21" s="3">
        <f ca="1">IF(OFFSET(テーブル7[[#This Row],[日付]],1,0,,)=テーブル7[[#This Row],[日付]],"",SUMIF(A:A,テーブル7[[#This Row],[日付]],E:E))</f>
        <v>-40</v>
      </c>
      <c r="K21" s="3">
        <f ca="1">IF(OFFSET(テーブル7[[#This Row],[日付]],1,0,,)=テーブル7[[#This Row],[日付]],"",SUMIF(A:A,テーブル7[[#This Row],[日付]],F:F))</f>
        <v>-4000</v>
      </c>
      <c r="L21" s="3" t="str">
        <f ca="1">IF(OFFSET(テーブル7[[#This Row],[週]],1,0,,)=テーブル7[[#This Row],[週]],"",SUMIF(N:N,テーブル7[[#This Row],[週]],E:E))</f>
        <v/>
      </c>
      <c r="M21" s="3" t="str">
        <f ca="1">IF(OFFSET(テーブル7[[#This Row],[週]],1,0,,)=テーブル7[[#This Row],[週]],"",SUMIF(N:N,テーブル7[[#This Row],[週]],F:F))</f>
        <v/>
      </c>
      <c r="N21" s="3" t="str">
        <f>IF(テーブル7[[#This Row],[日付]]="","",YEAR(テーブル7[[#This Row],[日付]])&amp;"年"&amp;WEEKNUM(テーブル7[[#This Row],[日付]])&amp;"週目")</f>
        <v>2017年8週目</v>
      </c>
    </row>
    <row r="22" spans="1:14">
      <c r="A22" s="2">
        <v>42788</v>
      </c>
      <c r="B22" s="3" t="s">
        <v>68</v>
      </c>
      <c r="C22" s="3" t="s">
        <v>76</v>
      </c>
      <c r="D22" s="3">
        <v>1.5</v>
      </c>
      <c r="E22" s="3">
        <v>-100</v>
      </c>
      <c r="F22" s="3">
        <v>-150000</v>
      </c>
      <c r="G22" s="5">
        <f>テーブル7[[#This Row],[ロット]]*100</f>
        <v>150</v>
      </c>
      <c r="H22" s="3">
        <f t="shared" si="1"/>
        <v>665</v>
      </c>
      <c r="I22" s="3">
        <f t="shared" si="2"/>
        <v>153500</v>
      </c>
      <c r="J22" s="3">
        <f ca="1">IF(OFFSET(テーブル7[[#This Row],[日付]],1,0,,)=テーブル7[[#This Row],[日付]],"",SUMIF(A:A,テーブル7[[#This Row],[日付]],E:E))</f>
        <v>-100</v>
      </c>
      <c r="K22" s="3">
        <f ca="1">IF(OFFSET(テーブル7[[#This Row],[日付]],1,0,,)=テーブル7[[#This Row],[日付]],"",SUMIF(A:A,テーブル7[[#This Row],[日付]],F:F))</f>
        <v>-150000</v>
      </c>
      <c r="L22" s="3">
        <f ca="1">IF(OFFSET(テーブル7[[#This Row],[週]],1,0,,)=テーブル7[[#This Row],[週]],"",SUMIF(N:N,テーブル7[[#This Row],[週]],E:E))</f>
        <v>-140</v>
      </c>
      <c r="M22" s="3">
        <f ca="1">IF(OFFSET(テーブル7[[#This Row],[週]],1,0,,)=テーブル7[[#This Row],[週]],"",SUMIF(N:N,テーブル7[[#This Row],[週]],F:F))</f>
        <v>-154000</v>
      </c>
      <c r="N22" s="3" t="str">
        <f>IF(テーブル7[[#This Row],[日付]]="","",YEAR(テーブル7[[#This Row],[日付]])&amp;"年"&amp;WEEKNUM(テーブル7[[#This Row],[日付]])&amp;"週目")</f>
        <v>2017年8週目</v>
      </c>
    </row>
    <row r="23" spans="1:14">
      <c r="A23" s="2">
        <v>42793</v>
      </c>
      <c r="B23" s="3" t="s">
        <v>62</v>
      </c>
      <c r="C23" s="3" t="s">
        <v>76</v>
      </c>
      <c r="D23" s="3">
        <v>1.5</v>
      </c>
      <c r="E23" s="3">
        <v>10</v>
      </c>
      <c r="F23" s="3">
        <v>15000</v>
      </c>
      <c r="G23" s="5">
        <f>テーブル7[[#This Row],[ロット]]*100</f>
        <v>150</v>
      </c>
      <c r="H23" s="3">
        <f t="shared" si="1"/>
        <v>675</v>
      </c>
      <c r="I23" s="3">
        <f t="shared" si="2"/>
        <v>168500</v>
      </c>
      <c r="J23" s="3">
        <f ca="1">IF(OFFSET(テーブル7[[#This Row],[日付]],1,0,,)=テーブル7[[#This Row],[日付]],"",SUMIF(A:A,テーブル7[[#This Row],[日付]],E:E))</f>
        <v>10</v>
      </c>
      <c r="K23" s="3">
        <f ca="1">IF(OFFSET(テーブル7[[#This Row],[日付]],1,0,,)=テーブル7[[#This Row],[日付]],"",SUMIF(A:A,テーブル7[[#This Row],[日付]],F:F))</f>
        <v>15000</v>
      </c>
      <c r="L23" s="3" t="str">
        <f ca="1">IF(OFFSET(テーブル7[[#This Row],[週]],1,0,,)=テーブル7[[#This Row],[週]],"",SUMIF(N:N,テーブル7[[#This Row],[週]],E:E))</f>
        <v/>
      </c>
      <c r="M23" s="3" t="str">
        <f ca="1">IF(OFFSET(テーブル7[[#This Row],[週]],1,0,,)=テーブル7[[#This Row],[週]],"",SUMIF(N:N,テーブル7[[#This Row],[週]],F:F))</f>
        <v/>
      </c>
      <c r="N23" s="3" t="str">
        <f>IF(テーブル7[[#This Row],[日付]]="","",YEAR(テーブル7[[#This Row],[日付]])&amp;"年"&amp;WEEKNUM(テーブル7[[#This Row],[日付]])&amp;"週目")</f>
        <v>2017年9週目</v>
      </c>
    </row>
    <row r="24" spans="1:14">
      <c r="A24" s="2">
        <v>42797</v>
      </c>
      <c r="B24" s="3" t="s">
        <v>69</v>
      </c>
      <c r="C24" s="3" t="s">
        <v>76</v>
      </c>
      <c r="D24" s="3">
        <v>1.5</v>
      </c>
      <c r="E24" s="3">
        <v>10</v>
      </c>
      <c r="F24" s="3">
        <v>15000</v>
      </c>
      <c r="G24" s="5">
        <f>テーブル7[[#This Row],[ロット]]*100</f>
        <v>150</v>
      </c>
      <c r="H24" s="3">
        <f t="shared" si="1"/>
        <v>685</v>
      </c>
      <c r="I24" s="3">
        <f t="shared" si="2"/>
        <v>183500</v>
      </c>
      <c r="J24" s="3" t="str">
        <f ca="1">IF(OFFSET(テーブル7[[#This Row],[日付]],1,0,,)=テーブル7[[#This Row],[日付]],"",SUMIF(A:A,テーブル7[[#This Row],[日付]],E:E))</f>
        <v/>
      </c>
      <c r="K24" s="3" t="str">
        <f ca="1">IF(OFFSET(テーブル7[[#This Row],[日付]],1,0,,)=テーブル7[[#This Row],[日付]],"",SUMIF(A:A,テーブル7[[#This Row],[日付]],F:F))</f>
        <v/>
      </c>
      <c r="L24" s="3" t="str">
        <f ca="1">IF(OFFSET(テーブル7[[#This Row],[週]],1,0,,)=テーブル7[[#This Row],[週]],"",SUMIF(N:N,テーブル7[[#This Row],[週]],E:E))</f>
        <v/>
      </c>
      <c r="M24" s="3" t="str">
        <f ca="1">IF(OFFSET(テーブル7[[#This Row],[週]],1,0,,)=テーブル7[[#This Row],[週]],"",SUMIF(N:N,テーブル7[[#This Row],[週]],F:F))</f>
        <v/>
      </c>
      <c r="N24" s="3" t="str">
        <f>IF(テーブル7[[#This Row],[日付]]="","",YEAR(テーブル7[[#This Row],[日付]])&amp;"年"&amp;WEEKNUM(テーブル7[[#This Row],[日付]])&amp;"週目")</f>
        <v>2017年9週目</v>
      </c>
    </row>
    <row r="25" spans="1:14">
      <c r="A25" s="2">
        <v>42797</v>
      </c>
      <c r="B25" s="3" t="s">
        <v>69</v>
      </c>
      <c r="C25" s="3" t="s">
        <v>77</v>
      </c>
      <c r="D25" s="3">
        <v>1.5</v>
      </c>
      <c r="E25" s="3">
        <v>10</v>
      </c>
      <c r="F25" s="3">
        <v>15000</v>
      </c>
      <c r="G25" s="5">
        <f>テーブル7[[#This Row],[ロット]]*100</f>
        <v>150</v>
      </c>
      <c r="H25" s="3">
        <f t="shared" si="1"/>
        <v>695</v>
      </c>
      <c r="I25" s="3">
        <f t="shared" si="2"/>
        <v>198500</v>
      </c>
      <c r="J25" s="3" t="str">
        <f ca="1">IF(OFFSET(テーブル7[[#This Row],[日付]],1,0,,)=テーブル7[[#This Row],[日付]],"",SUMIF(A:A,テーブル7[[#This Row],[日付]],E:E))</f>
        <v/>
      </c>
      <c r="K25" s="3" t="str">
        <f ca="1">IF(OFFSET(テーブル7[[#This Row],[日付]],1,0,,)=テーブル7[[#This Row],[日付]],"",SUMIF(A:A,テーブル7[[#This Row],[日付]],F:F))</f>
        <v/>
      </c>
      <c r="L25" s="3" t="str">
        <f ca="1">IF(OFFSET(テーブル7[[#This Row],[週]],1,0,,)=テーブル7[[#This Row],[週]],"",SUMIF(N:N,テーブル7[[#This Row],[週]],E:E))</f>
        <v/>
      </c>
      <c r="M25" s="3" t="str">
        <f ca="1">IF(OFFSET(テーブル7[[#This Row],[週]],1,0,,)=テーブル7[[#This Row],[週]],"",SUMIF(N:N,テーブル7[[#This Row],[週]],F:F))</f>
        <v/>
      </c>
      <c r="N25" s="3" t="str">
        <f>IF(テーブル7[[#This Row],[日付]]="","",YEAR(テーブル7[[#This Row],[日付]])&amp;"年"&amp;WEEKNUM(テーブル7[[#This Row],[日付]])&amp;"週目")</f>
        <v>2017年9週目</v>
      </c>
    </row>
    <row r="26" spans="1:14">
      <c r="A26" s="2">
        <v>42797</v>
      </c>
      <c r="B26" s="3" t="s">
        <v>69</v>
      </c>
      <c r="C26" s="3" t="s">
        <v>77</v>
      </c>
      <c r="D26" s="3">
        <v>1.5</v>
      </c>
      <c r="E26" s="3">
        <v>120</v>
      </c>
      <c r="F26" s="3">
        <v>180000</v>
      </c>
      <c r="G26" s="5">
        <f>テーブル7[[#This Row],[ロット]]*100</f>
        <v>150</v>
      </c>
      <c r="H26" s="3">
        <f t="shared" si="1"/>
        <v>815</v>
      </c>
      <c r="I26" s="3">
        <f t="shared" si="2"/>
        <v>378500</v>
      </c>
      <c r="J26" s="3">
        <f ca="1">IF(OFFSET(テーブル7[[#This Row],[日付]],1,0,,)=テーブル7[[#This Row],[日付]],"",SUMIF(A:A,テーブル7[[#This Row],[日付]],E:E))</f>
        <v>140</v>
      </c>
      <c r="K26" s="3">
        <f ca="1">IF(OFFSET(テーブル7[[#This Row],[日付]],1,0,,)=テーブル7[[#This Row],[日付]],"",SUMIF(A:A,テーブル7[[#This Row],[日付]],F:F))</f>
        <v>210000</v>
      </c>
      <c r="L26" s="3">
        <f ca="1">IF(OFFSET(テーブル7[[#This Row],[週]],1,0,,)=テーブル7[[#This Row],[週]],"",SUMIF(N:N,テーブル7[[#This Row],[週]],E:E))</f>
        <v>150</v>
      </c>
      <c r="M26" s="3">
        <f ca="1">IF(OFFSET(テーブル7[[#This Row],[週]],1,0,,)=テーブル7[[#This Row],[週]],"",SUMIF(N:N,テーブル7[[#This Row],[週]],F:F))</f>
        <v>225000</v>
      </c>
      <c r="N26" s="3" t="str">
        <f>IF(テーブル7[[#This Row],[日付]]="","",YEAR(テーブル7[[#This Row],[日付]])&amp;"年"&amp;WEEKNUM(テーブル7[[#This Row],[日付]])&amp;"週目")</f>
        <v>2017年9週目</v>
      </c>
    </row>
    <row r="27" spans="1:14">
      <c r="A27" s="2">
        <v>42803</v>
      </c>
      <c r="B27" s="3" t="s">
        <v>69</v>
      </c>
      <c r="C27" s="3" t="s">
        <v>77</v>
      </c>
      <c r="D27" s="3">
        <v>1.5</v>
      </c>
      <c r="E27" s="3">
        <v>-30</v>
      </c>
      <c r="F27" s="3">
        <v>-45000</v>
      </c>
      <c r="G27" s="5">
        <f>テーブル7[[#This Row],[ロット]]*100</f>
        <v>150</v>
      </c>
      <c r="H27" s="3">
        <f t="shared" si="1"/>
        <v>785</v>
      </c>
      <c r="I27" s="3">
        <f t="shared" si="2"/>
        <v>333500</v>
      </c>
      <c r="J27" s="3">
        <f ca="1">IF(OFFSET(テーブル7[[#This Row],[日付]],1,0,,)=テーブル7[[#This Row],[日付]],"",SUMIF(A:A,テーブル7[[#This Row],[日付]],E:E))</f>
        <v>-30</v>
      </c>
      <c r="K27" s="3">
        <f ca="1">IF(OFFSET(テーブル7[[#This Row],[日付]],1,0,,)=テーブル7[[#This Row],[日付]],"",SUMIF(A:A,テーブル7[[#This Row],[日付]],F:F))</f>
        <v>-45000</v>
      </c>
      <c r="L27" s="3">
        <f ca="1">IF(OFFSET(テーブル7[[#This Row],[週]],1,0,,)=テーブル7[[#This Row],[週]],"",SUMIF(N:N,テーブル7[[#This Row],[週]],E:E))</f>
        <v>-30</v>
      </c>
      <c r="M27" s="3">
        <f ca="1">IF(OFFSET(テーブル7[[#This Row],[週]],1,0,,)=テーブル7[[#This Row],[週]],"",SUMIF(N:N,テーブル7[[#This Row],[週]],F:F))</f>
        <v>-45000</v>
      </c>
      <c r="N27" s="3" t="str">
        <f>IF(テーブル7[[#This Row],[日付]]="","",YEAR(テーブル7[[#This Row],[日付]])&amp;"年"&amp;WEEKNUM(テーブル7[[#This Row],[日付]])&amp;"週目")</f>
        <v>2017年10週目</v>
      </c>
    </row>
    <row r="28" spans="1:14">
      <c r="A28" s="2">
        <v>42806</v>
      </c>
      <c r="B28" s="3" t="s">
        <v>70</v>
      </c>
      <c r="C28" s="3" t="s">
        <v>77</v>
      </c>
      <c r="D28" s="3">
        <v>1.5</v>
      </c>
      <c r="E28" s="3">
        <v>80</v>
      </c>
      <c r="F28" s="3">
        <v>120000</v>
      </c>
      <c r="G28" s="5">
        <f>テーブル7[[#This Row],[ロット]]*100</f>
        <v>150</v>
      </c>
      <c r="H28" s="3">
        <f t="shared" si="1"/>
        <v>865</v>
      </c>
      <c r="I28" s="3">
        <f t="shared" si="2"/>
        <v>453500</v>
      </c>
      <c r="J28" s="3">
        <f ca="1">IF(OFFSET(テーブル7[[#This Row],[日付]],1,0,,)=テーブル7[[#This Row],[日付]],"",SUMIF(A:A,テーブル7[[#This Row],[日付]],E:E))</f>
        <v>80</v>
      </c>
      <c r="K28" s="3">
        <f ca="1">IF(OFFSET(テーブル7[[#This Row],[日付]],1,0,,)=テーブル7[[#This Row],[日付]],"",SUMIF(A:A,テーブル7[[#This Row],[日付]],F:F))</f>
        <v>120000</v>
      </c>
      <c r="L28" s="3" t="str">
        <f ca="1">IF(OFFSET(テーブル7[[#This Row],[週]],1,0,,)=テーブル7[[#This Row],[週]],"",SUMIF(N:N,テーブル7[[#This Row],[週]],E:E))</f>
        <v/>
      </c>
      <c r="M28" s="3" t="str">
        <f ca="1">IF(OFFSET(テーブル7[[#This Row],[週]],1,0,,)=テーブル7[[#This Row],[週]],"",SUMIF(N:N,テーブル7[[#This Row],[週]],F:F))</f>
        <v/>
      </c>
      <c r="N28" s="3" t="str">
        <f>IF(テーブル7[[#This Row],[日付]]="","",YEAR(テーブル7[[#This Row],[日付]])&amp;"年"&amp;WEEKNUM(テーブル7[[#This Row],[日付]])&amp;"週目")</f>
        <v>2017年11週目</v>
      </c>
    </row>
    <row r="29" spans="1:14">
      <c r="A29" s="2">
        <v>42807</v>
      </c>
      <c r="B29" s="3" t="s">
        <v>70</v>
      </c>
      <c r="C29" s="3" t="s">
        <v>77</v>
      </c>
      <c r="D29" s="3">
        <v>2</v>
      </c>
      <c r="E29" s="3">
        <v>-30</v>
      </c>
      <c r="F29" s="3">
        <v>-60000</v>
      </c>
      <c r="G29" s="5">
        <f>テーブル7[[#This Row],[ロット]]*100</f>
        <v>200</v>
      </c>
      <c r="H29" s="3">
        <f t="shared" si="1"/>
        <v>835</v>
      </c>
      <c r="I29" s="3">
        <f t="shared" si="2"/>
        <v>393500</v>
      </c>
      <c r="J29" s="3">
        <f ca="1">IF(OFFSET(テーブル7[[#This Row],[日付]],1,0,,)=テーブル7[[#This Row],[日付]],"",SUMIF(A:A,テーブル7[[#This Row],[日付]],E:E))</f>
        <v>-30</v>
      </c>
      <c r="K29" s="3">
        <f ca="1">IF(OFFSET(テーブル7[[#This Row],[日付]],1,0,,)=テーブル7[[#This Row],[日付]],"",SUMIF(A:A,テーブル7[[#This Row],[日付]],F:F))</f>
        <v>-60000</v>
      </c>
      <c r="L29" s="3" t="str">
        <f ca="1">IF(OFFSET(テーブル7[[#This Row],[週]],1,0,,)=テーブル7[[#This Row],[週]],"",SUMIF(N:N,テーブル7[[#This Row],[週]],E:E))</f>
        <v/>
      </c>
      <c r="M29" s="3" t="str">
        <f ca="1">IF(OFFSET(テーブル7[[#This Row],[週]],1,0,,)=テーブル7[[#This Row],[週]],"",SUMIF(N:N,テーブル7[[#This Row],[週]],F:F))</f>
        <v/>
      </c>
      <c r="N29" s="3" t="str">
        <f>IF(テーブル7[[#This Row],[日付]]="","",YEAR(テーブル7[[#This Row],[日付]])&amp;"年"&amp;WEEKNUM(テーブル7[[#This Row],[日付]])&amp;"週目")</f>
        <v>2017年11週目</v>
      </c>
    </row>
    <row r="30" spans="1:14">
      <c r="A30" s="2">
        <v>42810</v>
      </c>
      <c r="B30" s="3" t="s">
        <v>71</v>
      </c>
      <c r="C30" s="3" t="s">
        <v>77</v>
      </c>
      <c r="D30" s="3">
        <v>2</v>
      </c>
      <c r="E30" s="3">
        <v>100</v>
      </c>
      <c r="F30" s="3">
        <v>200000</v>
      </c>
      <c r="G30" s="5">
        <f>テーブル7[[#This Row],[ロット]]*100</f>
        <v>200</v>
      </c>
      <c r="H30" s="3">
        <f t="shared" si="1"/>
        <v>935</v>
      </c>
      <c r="I30" s="3">
        <f t="shared" si="2"/>
        <v>593500</v>
      </c>
      <c r="J30" s="3">
        <f ca="1">IF(OFFSET(テーブル7[[#This Row],[日付]],1,0,,)=テーブル7[[#This Row],[日付]],"",SUMIF(A:A,テーブル7[[#This Row],[日付]],E:E))</f>
        <v>100</v>
      </c>
      <c r="K30" s="3">
        <f ca="1">IF(OFFSET(テーブル7[[#This Row],[日付]],1,0,,)=テーブル7[[#This Row],[日付]],"",SUMIF(A:A,テーブル7[[#This Row],[日付]],F:F))</f>
        <v>200000</v>
      </c>
      <c r="L30" s="3">
        <f ca="1">IF(OFFSET(テーブル7[[#This Row],[週]],1,0,,)=テーブル7[[#This Row],[週]],"",SUMIF(N:N,テーブル7[[#This Row],[週]],E:E))</f>
        <v>150</v>
      </c>
      <c r="M30" s="3">
        <f ca="1">IF(OFFSET(テーブル7[[#This Row],[週]],1,0,,)=テーブル7[[#This Row],[週]],"",SUMIF(N:N,テーブル7[[#This Row],[週]],F:F))</f>
        <v>260000</v>
      </c>
      <c r="N30" s="3" t="str">
        <f>IF(テーブル7[[#This Row],[日付]]="","",YEAR(テーブル7[[#This Row],[日付]])&amp;"年"&amp;WEEKNUM(テーブル7[[#This Row],[日付]])&amp;"週目")</f>
        <v>2017年11週目</v>
      </c>
    </row>
    <row r="31" spans="1:14">
      <c r="A31" s="2">
        <v>42814</v>
      </c>
      <c r="B31" s="3" t="s">
        <v>71</v>
      </c>
      <c r="C31" s="3" t="s">
        <v>77</v>
      </c>
      <c r="D31" s="3">
        <v>2</v>
      </c>
      <c r="E31" s="3">
        <v>100</v>
      </c>
      <c r="F31" s="3">
        <v>200000</v>
      </c>
      <c r="G31" s="5">
        <f>テーブル7[[#This Row],[ロット]]*100</f>
        <v>200</v>
      </c>
      <c r="H31" s="3">
        <f t="shared" si="1"/>
        <v>1035</v>
      </c>
      <c r="I31" s="3">
        <f t="shared" si="2"/>
        <v>793500</v>
      </c>
      <c r="J31" s="3">
        <f ca="1">IF(OFFSET(テーブル7[[#This Row],[日付]],1,0,,)=テーブル7[[#This Row],[日付]],"",SUMIF(A:A,テーブル7[[#This Row],[日付]],E:E))</f>
        <v>100</v>
      </c>
      <c r="K31" s="3">
        <f ca="1">IF(OFFSET(テーブル7[[#This Row],[日付]],1,0,,)=テーブル7[[#This Row],[日付]],"",SUMIF(A:A,テーブル7[[#This Row],[日付]],F:F))</f>
        <v>200000</v>
      </c>
      <c r="L31" s="3" t="str">
        <f ca="1">IF(OFFSET(テーブル7[[#This Row],[週]],1,0,,)=テーブル7[[#This Row],[週]],"",SUMIF(N:N,テーブル7[[#This Row],[週]],E:E))</f>
        <v/>
      </c>
      <c r="M31" s="3" t="str">
        <f ca="1">IF(OFFSET(テーブル7[[#This Row],[週]],1,0,,)=テーブル7[[#This Row],[週]],"",SUMIF(N:N,テーブル7[[#This Row],[週]],F:F))</f>
        <v/>
      </c>
      <c r="N31" s="3" t="str">
        <f>IF(テーブル7[[#This Row],[日付]]="","",YEAR(テーブル7[[#This Row],[日付]])&amp;"年"&amp;WEEKNUM(テーブル7[[#This Row],[日付]])&amp;"週目")</f>
        <v>2017年12週目</v>
      </c>
    </row>
    <row r="32" spans="1:14">
      <c r="A32" s="2">
        <v>42818</v>
      </c>
      <c r="B32" s="3" t="s">
        <v>71</v>
      </c>
      <c r="C32" s="3" t="s">
        <v>77</v>
      </c>
      <c r="D32" s="3">
        <v>2</v>
      </c>
      <c r="E32" s="3">
        <v>120</v>
      </c>
      <c r="F32" s="3">
        <v>240000</v>
      </c>
      <c r="G32" s="5">
        <f>テーブル7[[#This Row],[ロット]]*100</f>
        <v>200</v>
      </c>
      <c r="H32" s="3">
        <f t="shared" si="1"/>
        <v>1155</v>
      </c>
      <c r="I32" s="3">
        <f t="shared" si="2"/>
        <v>1033500</v>
      </c>
      <c r="J32" s="3">
        <f ca="1">IF(OFFSET(テーブル7[[#This Row],[日付]],1,0,,)=テーブル7[[#This Row],[日付]],"",SUMIF(A:A,テーブル7[[#This Row],[日付]],E:E))</f>
        <v>120</v>
      </c>
      <c r="K32" s="3">
        <f ca="1">IF(OFFSET(テーブル7[[#This Row],[日付]],1,0,,)=テーブル7[[#This Row],[日付]],"",SUMIF(A:A,テーブル7[[#This Row],[日付]],F:F))</f>
        <v>240000</v>
      </c>
      <c r="L32" s="3">
        <f ca="1">IF(OFFSET(テーブル7[[#This Row],[週]],1,0,,)=テーブル7[[#This Row],[週]],"",SUMIF(N:N,テーブル7[[#This Row],[週]],E:E))</f>
        <v>220</v>
      </c>
      <c r="M32" s="3">
        <f ca="1">IF(OFFSET(テーブル7[[#This Row],[週]],1,0,,)=テーブル7[[#This Row],[週]],"",SUMIF(N:N,テーブル7[[#This Row],[週]],F:F))</f>
        <v>440000</v>
      </c>
      <c r="N32" s="3" t="str">
        <f>IF(テーブル7[[#This Row],[日付]]="","",YEAR(テーブル7[[#This Row],[日付]])&amp;"年"&amp;WEEKNUM(テーブル7[[#This Row],[日付]])&amp;"週目")</f>
        <v>2017年12週目</v>
      </c>
    </row>
    <row r="33" spans="1:14">
      <c r="A33" s="2">
        <v>42821</v>
      </c>
      <c r="B33" s="3" t="s">
        <v>71</v>
      </c>
      <c r="C33" s="3" t="s">
        <v>77</v>
      </c>
      <c r="D33" s="3">
        <v>2</v>
      </c>
      <c r="E33" s="3">
        <v>-20</v>
      </c>
      <c r="F33" s="3">
        <v>-40000</v>
      </c>
      <c r="G33" s="5">
        <f>テーブル7[[#This Row],[ロット]]*100</f>
        <v>200</v>
      </c>
      <c r="H33" s="3">
        <f t="shared" si="1"/>
        <v>1135</v>
      </c>
      <c r="I33" s="3">
        <f t="shared" si="2"/>
        <v>993500</v>
      </c>
      <c r="J33" s="3">
        <f ca="1">IF(OFFSET(テーブル7[[#This Row],[日付]],1,0,,)=テーブル7[[#This Row],[日付]],"",SUMIF(A:A,テーブル7[[#This Row],[日付]],E:E))</f>
        <v>-20</v>
      </c>
      <c r="K33" s="3">
        <f ca="1">IF(OFFSET(テーブル7[[#This Row],[日付]],1,0,,)=テーブル7[[#This Row],[日付]],"",SUMIF(A:A,テーブル7[[#This Row],[日付]],F:F))</f>
        <v>-40000</v>
      </c>
      <c r="L33" s="3" t="str">
        <f ca="1">IF(OFFSET(テーブル7[[#This Row],[週]],1,0,,)=テーブル7[[#This Row],[週]],"",SUMIF(N:N,テーブル7[[#This Row],[週]],E:E))</f>
        <v/>
      </c>
      <c r="M33" s="3" t="str">
        <f ca="1">IF(OFFSET(テーブル7[[#This Row],[週]],1,0,,)=テーブル7[[#This Row],[週]],"",SUMIF(N:N,テーブル7[[#This Row],[週]],F:F))</f>
        <v/>
      </c>
      <c r="N33" s="3" t="str">
        <f>IF(テーブル7[[#This Row],[日付]]="","",YEAR(テーブル7[[#This Row],[日付]])&amp;"年"&amp;WEEKNUM(テーブル7[[#This Row],[日付]])&amp;"週目")</f>
        <v>2017年13週目</v>
      </c>
    </row>
    <row r="34" spans="1:14">
      <c r="A34" s="2">
        <v>42823</v>
      </c>
      <c r="B34" s="3" t="s">
        <v>71</v>
      </c>
      <c r="C34" s="3" t="s">
        <v>77</v>
      </c>
      <c r="D34" s="3">
        <v>2</v>
      </c>
      <c r="E34" s="3">
        <v>150</v>
      </c>
      <c r="F34" s="3">
        <v>300000</v>
      </c>
      <c r="G34" s="5">
        <f>テーブル7[[#This Row],[ロット]]*100</f>
        <v>200</v>
      </c>
      <c r="H34" s="3">
        <f t="shared" si="1"/>
        <v>1285</v>
      </c>
      <c r="I34" s="3">
        <f t="shared" si="2"/>
        <v>1293500</v>
      </c>
      <c r="J34" s="3">
        <f ca="1">IF(OFFSET(テーブル7[[#This Row],[日付]],1,0,,)=テーブル7[[#This Row],[日付]],"",SUMIF(A:A,テーブル7[[#This Row],[日付]],E:E))</f>
        <v>150</v>
      </c>
      <c r="K34" s="3">
        <f ca="1">IF(OFFSET(テーブル7[[#This Row],[日付]],1,0,,)=テーブル7[[#This Row],[日付]],"",SUMIF(A:A,テーブル7[[#This Row],[日付]],F:F))</f>
        <v>300000</v>
      </c>
      <c r="L34" s="3">
        <f ca="1">IF(OFFSET(テーブル7[[#This Row],[週]],1,0,,)=テーブル7[[#This Row],[週]],"",SUMIF(N:N,テーブル7[[#This Row],[週]],E:E))</f>
        <v>130</v>
      </c>
      <c r="M34" s="3">
        <f ca="1">IF(OFFSET(テーブル7[[#This Row],[週]],1,0,,)=テーブル7[[#This Row],[週]],"",SUMIF(N:N,テーブル7[[#This Row],[週]],F:F))</f>
        <v>260000</v>
      </c>
      <c r="N34" s="3" t="str">
        <f>IF(テーブル7[[#This Row],[日付]]="","",YEAR(テーブル7[[#This Row],[日付]])&amp;"年"&amp;WEEKNUM(テーブル7[[#This Row],[日付]])&amp;"週目")</f>
        <v>2017年13週目</v>
      </c>
    </row>
    <row r="35" spans="1:14">
      <c r="A35" s="2">
        <v>42831</v>
      </c>
      <c r="B35" s="3" t="s">
        <v>72</v>
      </c>
      <c r="C35" s="3" t="s">
        <v>79</v>
      </c>
      <c r="D35" s="3">
        <v>2</v>
      </c>
      <c r="E35" s="3">
        <v>200</v>
      </c>
      <c r="F35" s="3">
        <v>400000</v>
      </c>
      <c r="G35" s="5">
        <f>テーブル7[[#This Row],[ロット]]*100</f>
        <v>200</v>
      </c>
      <c r="H35" s="3">
        <f t="shared" si="1"/>
        <v>1485</v>
      </c>
      <c r="I35" s="3">
        <f t="shared" si="2"/>
        <v>1693500</v>
      </c>
      <c r="J35" s="3">
        <f ca="1">IF(OFFSET(テーブル7[[#This Row],[日付]],1,0,,)=テーブル7[[#This Row],[日付]],"",SUMIF(A:A,テーブル7[[#This Row],[日付]],E:E))</f>
        <v>200</v>
      </c>
      <c r="K35" s="3">
        <f ca="1">IF(OFFSET(テーブル7[[#This Row],[日付]],1,0,,)=テーブル7[[#This Row],[日付]],"",SUMIF(A:A,テーブル7[[#This Row],[日付]],F:F))</f>
        <v>400000</v>
      </c>
      <c r="L35" s="3" t="str">
        <f ca="1">IF(OFFSET(テーブル7[[#This Row],[週]],1,0,,)=テーブル7[[#This Row],[週]],"",SUMIF(N:N,テーブル7[[#This Row],[週]],E:E))</f>
        <v/>
      </c>
      <c r="M35" s="3" t="str">
        <f ca="1">IF(OFFSET(テーブル7[[#This Row],[週]],1,0,,)=テーブル7[[#This Row],[週]],"",SUMIF(N:N,テーブル7[[#This Row],[週]],F:F))</f>
        <v/>
      </c>
      <c r="N35" s="3" t="str">
        <f>IF(テーブル7[[#This Row],[日付]]="","",YEAR(テーブル7[[#This Row],[日付]])&amp;"年"&amp;WEEKNUM(テーブル7[[#This Row],[日付]])&amp;"週目")</f>
        <v>2017年14週目</v>
      </c>
    </row>
    <row r="36" spans="1:14">
      <c r="A36" s="2">
        <v>42832</v>
      </c>
      <c r="B36" s="3" t="s">
        <v>73</v>
      </c>
      <c r="C36" s="3" t="s">
        <v>80</v>
      </c>
      <c r="D36" s="3">
        <v>2</v>
      </c>
      <c r="E36" s="3">
        <v>-150</v>
      </c>
      <c r="F36" s="3">
        <v>-300000</v>
      </c>
      <c r="G36" s="5">
        <f>テーブル7[[#This Row],[ロット]]*100</f>
        <v>200</v>
      </c>
      <c r="H36" s="3">
        <f t="shared" si="1"/>
        <v>1335</v>
      </c>
      <c r="I36" s="3">
        <f t="shared" si="2"/>
        <v>1393500</v>
      </c>
      <c r="J36" s="3">
        <f ca="1">IF(OFFSET(テーブル7[[#This Row],[日付]],1,0,,)=テーブル7[[#This Row],[日付]],"",SUMIF(A:A,テーブル7[[#This Row],[日付]],E:E))</f>
        <v>-150</v>
      </c>
      <c r="K36" s="3">
        <f ca="1">IF(OFFSET(テーブル7[[#This Row],[日付]],1,0,,)=テーブル7[[#This Row],[日付]],"",SUMIF(A:A,テーブル7[[#This Row],[日付]],F:F))</f>
        <v>-300000</v>
      </c>
      <c r="L36" s="3" t="str">
        <f ca="1">IF(OFFSET(テーブル7[[#This Row],[週]],1,0,,)=テーブル7[[#This Row],[週]],"",SUMIF(N:N,テーブル7[[#This Row],[週]],E:E))</f>
        <v/>
      </c>
      <c r="M36" s="3" t="str">
        <f ca="1">IF(OFFSET(テーブル7[[#This Row],[週]],1,0,,)=テーブル7[[#This Row],[週]],"",SUMIF(N:N,テーブル7[[#This Row],[週]],F:F))</f>
        <v/>
      </c>
      <c r="N36" s="3" t="str">
        <f>IF(テーブル7[[#This Row],[日付]]="","",YEAR(テーブル7[[#This Row],[日付]])&amp;"年"&amp;WEEKNUM(テーブル7[[#This Row],[日付]])&amp;"週目")</f>
        <v>2017年14週目</v>
      </c>
    </row>
    <row r="37" spans="1:14">
      <c r="A37" s="2">
        <v>42833</v>
      </c>
      <c r="B37" s="3" t="s">
        <v>74</v>
      </c>
      <c r="C37" s="3" t="s">
        <v>81</v>
      </c>
      <c r="D37" s="3">
        <v>5</v>
      </c>
      <c r="E37" s="3">
        <v>-20</v>
      </c>
      <c r="F37" s="3">
        <v>-100000</v>
      </c>
      <c r="G37" s="5">
        <f>テーブル7[[#This Row],[ロット]]*100</f>
        <v>500</v>
      </c>
      <c r="H37" s="3">
        <f t="shared" si="1"/>
        <v>1315</v>
      </c>
      <c r="I37" s="3">
        <f t="shared" si="2"/>
        <v>1293500</v>
      </c>
      <c r="J37" s="3">
        <f ca="1">IF(OFFSET(テーブル7[[#This Row],[日付]],1,0,,)=テーブル7[[#This Row],[日付]],"",SUMIF(A:A,テーブル7[[#This Row],[日付]],E:E))</f>
        <v>-20</v>
      </c>
      <c r="K37" s="3">
        <f ca="1">IF(OFFSET(テーブル7[[#This Row],[日付]],1,0,,)=テーブル7[[#This Row],[日付]],"",SUMIF(A:A,テーブル7[[#This Row],[日付]],F:F))</f>
        <v>-100000</v>
      </c>
      <c r="L37" s="3">
        <f ca="1">IF(OFFSET(テーブル7[[#This Row],[週]],1,0,,)=テーブル7[[#This Row],[週]],"",SUMIF(N:N,テーブル7[[#This Row],[週]],E:E))</f>
        <v>30</v>
      </c>
      <c r="M37" s="3">
        <f ca="1">IF(OFFSET(テーブル7[[#This Row],[週]],1,0,,)=テーブル7[[#This Row],[週]],"",SUMIF(N:N,テーブル7[[#This Row],[週]],F:F))</f>
        <v>0</v>
      </c>
      <c r="N37" s="3" t="str">
        <f>IF(テーブル7[[#This Row],[日付]]="","",YEAR(テーブル7[[#This Row],[日付]])&amp;"年"&amp;WEEKNUM(テーブル7[[#This Row],[日付]])&amp;"週目")</f>
        <v>2017年14週目</v>
      </c>
    </row>
    <row r="38" spans="1:14">
      <c r="A38" s="2">
        <v>42836</v>
      </c>
      <c r="B38" s="3" t="s">
        <v>75</v>
      </c>
      <c r="C38" s="3" t="s">
        <v>77</v>
      </c>
      <c r="D38" s="3">
        <v>5</v>
      </c>
      <c r="E38" s="3">
        <v>30</v>
      </c>
      <c r="F38" s="3">
        <v>150000</v>
      </c>
      <c r="G38" s="5">
        <f>テーブル7[[#This Row],[ロット]]*100</f>
        <v>500</v>
      </c>
      <c r="H38" s="3">
        <f t="shared" si="1"/>
        <v>1345</v>
      </c>
      <c r="I38" s="3">
        <f t="shared" si="2"/>
        <v>1443500</v>
      </c>
      <c r="J38" s="3">
        <f ca="1">IF(OFFSET(テーブル7[[#This Row],[日付]],1,0,,)=テーブル7[[#This Row],[日付]],"",SUMIF(A:A,テーブル7[[#This Row],[日付]],E:E))</f>
        <v>30</v>
      </c>
      <c r="K38" s="3">
        <f ca="1">IF(OFFSET(テーブル7[[#This Row],[日付]],1,0,,)=テーブル7[[#This Row],[日付]],"",SUMIF(A:A,テーブル7[[#This Row],[日付]],F:F))</f>
        <v>150000</v>
      </c>
      <c r="L38" s="3" t="str">
        <f ca="1">IF(OFFSET(テーブル7[[#This Row],[週]],1,0,,)=テーブル7[[#This Row],[週]],"",SUMIF(N:N,テーブル7[[#This Row],[週]],E:E))</f>
        <v/>
      </c>
      <c r="M38" s="3" t="str">
        <f ca="1">IF(OFFSET(テーブル7[[#This Row],[週]],1,0,,)=テーブル7[[#This Row],[週]],"",SUMIF(N:N,テーブル7[[#This Row],[週]],F:F))</f>
        <v/>
      </c>
      <c r="N38" s="3" t="str">
        <f>IF(テーブル7[[#This Row],[日付]]="","",YEAR(テーブル7[[#This Row],[日付]])&amp;"年"&amp;WEEKNUM(テーブル7[[#This Row],[日付]])&amp;"週目")</f>
        <v>2017年15週目</v>
      </c>
    </row>
    <row r="39" spans="1:14">
      <c r="A39" s="2">
        <v>42837</v>
      </c>
      <c r="B39" s="3" t="s">
        <v>75</v>
      </c>
      <c r="C39" s="3" t="s">
        <v>77</v>
      </c>
      <c r="D39" s="3">
        <v>5</v>
      </c>
      <c r="E39" s="3">
        <v>30</v>
      </c>
      <c r="F39" s="3">
        <v>150000</v>
      </c>
      <c r="G39" s="5">
        <f>テーブル7[[#This Row],[ロット]]*100</f>
        <v>500</v>
      </c>
      <c r="H39" s="3">
        <f t="shared" si="1"/>
        <v>1375</v>
      </c>
      <c r="I39" s="3">
        <f t="shared" si="2"/>
        <v>1593500</v>
      </c>
      <c r="J39" s="3">
        <f ca="1">IF(OFFSET(テーブル7[[#This Row],[日付]],1,0,,)=テーブル7[[#This Row],[日付]],"",SUMIF(A:A,テーブル7[[#This Row],[日付]],E:E))</f>
        <v>30</v>
      </c>
      <c r="K39" s="3">
        <f ca="1">IF(OFFSET(テーブル7[[#This Row],[日付]],1,0,,)=テーブル7[[#This Row],[日付]],"",SUMIF(A:A,テーブル7[[#This Row],[日付]],F:F))</f>
        <v>150000</v>
      </c>
      <c r="L39" s="3" t="str">
        <f ca="1">IF(OFFSET(テーブル7[[#This Row],[週]],1,0,,)=テーブル7[[#This Row],[週]],"",SUMIF(N:N,テーブル7[[#This Row],[週]],E:E))</f>
        <v/>
      </c>
      <c r="M39" s="3" t="str">
        <f ca="1">IF(OFFSET(テーブル7[[#This Row],[週]],1,0,,)=テーブル7[[#This Row],[週]],"",SUMIF(N:N,テーブル7[[#This Row],[週]],F:F))</f>
        <v/>
      </c>
      <c r="N39" s="3" t="str">
        <f>IF(テーブル7[[#This Row],[日付]]="","",YEAR(テーブル7[[#This Row],[日付]])&amp;"年"&amp;WEEKNUM(テーブル7[[#This Row],[日付]])&amp;"週目")</f>
        <v>2017年15週目</v>
      </c>
    </row>
    <row r="40" spans="1:14">
      <c r="A40" s="2">
        <v>42840</v>
      </c>
      <c r="B40" s="3" t="s">
        <v>75</v>
      </c>
      <c r="C40" s="3" t="s">
        <v>77</v>
      </c>
      <c r="D40" s="3">
        <v>5</v>
      </c>
      <c r="E40" s="3">
        <v>50</v>
      </c>
      <c r="F40" s="3">
        <v>750000</v>
      </c>
      <c r="G40" s="5">
        <f>テーブル7[[#This Row],[ロット]]*100</f>
        <v>500</v>
      </c>
      <c r="H40" s="3">
        <f t="shared" si="1"/>
        <v>1425</v>
      </c>
      <c r="I40" s="3">
        <f t="shared" si="2"/>
        <v>2343500</v>
      </c>
      <c r="J40" s="3">
        <f ca="1">IF(OFFSET(テーブル7[[#This Row],[日付]],1,0,,)=テーブル7[[#This Row],[日付]],"",SUMIF(A:A,テーブル7[[#This Row],[日付]],E:E))</f>
        <v>50</v>
      </c>
      <c r="K40" s="3">
        <f ca="1">IF(OFFSET(テーブル7[[#This Row],[日付]],1,0,,)=テーブル7[[#This Row],[日付]],"",SUMIF(A:A,テーブル7[[#This Row],[日付]],F:F))</f>
        <v>750000</v>
      </c>
      <c r="L40" s="3">
        <f ca="1">IF(OFFSET(テーブル7[[#This Row],[週]],1,0,,)=テーブル7[[#This Row],[週]],"",SUMIF(N:N,テーブル7[[#This Row],[週]],E:E))</f>
        <v>110</v>
      </c>
      <c r="M40" s="3">
        <f ca="1">IF(OFFSET(テーブル7[[#This Row],[週]],1,0,,)=テーブル7[[#This Row],[週]],"",SUMIF(N:N,テーブル7[[#This Row],[週]],F:F))</f>
        <v>1050000</v>
      </c>
      <c r="N40" s="3" t="str">
        <f>IF(テーブル7[[#This Row],[日付]]="","",YEAR(テーブル7[[#This Row],[日付]])&amp;"年"&amp;WEEKNUM(テーブル7[[#This Row],[日付]])&amp;"週目")</f>
        <v>2017年15週目</v>
      </c>
    </row>
    <row r="42" spans="1:14">
      <c r="D42" t="s">
        <v>25</v>
      </c>
      <c r="J42" t="s">
        <v>107</v>
      </c>
    </row>
    <row r="43" spans="1:14">
      <c r="D43" t="s">
        <v>26</v>
      </c>
      <c r="J43" t="s">
        <v>27</v>
      </c>
    </row>
    <row r="44" spans="1:14">
      <c r="J44" t="s">
        <v>28</v>
      </c>
    </row>
    <row r="45" spans="1:14">
      <c r="J45" t="s">
        <v>33</v>
      </c>
    </row>
  </sheetData>
  <phoneticPr fontId="2"/>
  <dataValidations count="1">
    <dataValidation type="list" allowBlank="1" showInputMessage="1" showErrorMessage="1" errorTitle="ロングorショート" error="ロングorショート入力または_x000d_ドロップダウンリストより選択" sqref="C2:C40">
      <formula1>$P$2:$P$3</formula1>
    </dataValidation>
  </dataValidations>
  <pageMargins left="0.7" right="0.7" top="0.75" bottom="0.75" header="0.3" footer="0.3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AB1" sqref="AB1"/>
    </sheetView>
  </sheetViews>
  <sheetFormatPr baseColWidth="12" defaultRowHeight="18" x14ac:dyDescent="0"/>
  <cols>
    <col min="1" max="1" width="4.5" bestFit="1" customWidth="1"/>
    <col min="2" max="2" width="6.5" bestFit="1" customWidth="1"/>
    <col min="3" max="4" width="8.5" customWidth="1"/>
    <col min="5" max="5" width="12.83203125" bestFit="1" customWidth="1"/>
    <col min="6" max="6" width="13.1640625" bestFit="1" customWidth="1"/>
    <col min="7" max="8" width="9.5" bestFit="1" customWidth="1"/>
    <col min="9" max="10" width="13.1640625" bestFit="1" customWidth="1"/>
    <col min="11" max="12" width="9.5" bestFit="1" customWidth="1"/>
    <col min="13" max="14" width="13.1640625" bestFit="1" customWidth="1"/>
    <col min="15" max="16" width="9.5" bestFit="1" customWidth="1"/>
    <col min="17" max="18" width="14.83203125" bestFit="1" customWidth="1"/>
    <col min="19" max="19" width="11.5" bestFit="1" customWidth="1"/>
    <col min="20" max="20" width="12.6640625" bestFit="1" customWidth="1"/>
    <col min="21" max="21" width="10.33203125" bestFit="1" customWidth="1"/>
    <col min="22" max="22" width="10.83203125" style="8" bestFit="1" customWidth="1"/>
    <col min="23" max="23" width="11.83203125" style="8" bestFit="1" customWidth="1"/>
    <col min="24" max="24" width="5.5" style="8" bestFit="1" customWidth="1"/>
    <col min="25" max="25" width="11.83203125" bestFit="1" customWidth="1"/>
    <col min="26" max="27" width="7.5" bestFit="1" customWidth="1"/>
  </cols>
  <sheetData>
    <row r="1" spans="1:27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s="8" t="s">
        <v>55</v>
      </c>
      <c r="W1" s="8" t="s">
        <v>56</v>
      </c>
      <c r="X1" s="8" t="s">
        <v>57</v>
      </c>
      <c r="Y1" t="s">
        <v>58</v>
      </c>
      <c r="Z1" t="s">
        <v>59</v>
      </c>
      <c r="AA1" t="s">
        <v>60</v>
      </c>
    </row>
    <row r="2" spans="1:27">
      <c r="A2" t="s">
        <v>61</v>
      </c>
      <c r="B2">
        <f ca="1">SUM(INDIRECT("取引履歴!E"&amp;Z2&amp;":E"&amp;AA2))</f>
        <v>875</v>
      </c>
      <c r="C2">
        <f ca="1">SUM(INDIRECT("取引履歴!F"&amp;Z2&amp;":F"&amp;AA2))</f>
        <v>357500</v>
      </c>
      <c r="D2">
        <f ca="1">SUM(INDIRECT("取引履歴!G"&amp;Z2&amp;":G"&amp;AA2))</f>
        <v>-350</v>
      </c>
      <c r="E2">
        <f ca="1">IF(MAX(INDIRECT("取引履歴!E"&amp;Z2&amp;":E"&amp;AA2))&lt;0,0,MAX(INDIRECT("取引履歴!E"&amp;Z2&amp;":E"&amp;AA2)))</f>
        <v>500</v>
      </c>
      <c r="F2">
        <f ca="1">IF(MIN(INDIRECT("取引履歴!E"&amp;Z2&amp;":E"&amp;AA2))&gt;0,0,ABS(MIN(INDIRECT("取引履歴!E"&amp;Z2&amp;":E"&amp;AA2))))</f>
        <v>300</v>
      </c>
      <c r="G2">
        <f ca="1">IF(MAX(INDIRECT("取引履歴!F"&amp;Z2&amp;":F"&amp;AA2))&lt;0,0,MAX(INDIRECT("取引履歴!F"&amp;Z2&amp;":F"&amp;AA2)))</f>
        <v>250000</v>
      </c>
      <c r="H2">
        <f ca="1">IF(MIN(INDIRECT("取引履歴!F"&amp;Z2&amp;":F"&amp;AA2))&gt;0,0,ABS(MIN(INDIRECT("取引履歴!F"&amp;Z2&amp;":F"&amp;AA2))))</f>
        <v>150000</v>
      </c>
      <c r="I2" s="7">
        <f ca="1">IF(V2="",0,AVERAGEIF(INDIRECT("取引履歴!E"&amp;Z2&amp;":E"&amp;AA2),"&gt;0"))</f>
        <v>165.625</v>
      </c>
      <c r="J2" s="7">
        <f ca="1">IF(W2="",0,ABS(AVERAGEIF(INDIRECT("取引履歴!E"&amp;Z2&amp;":E"&amp;AA2),"&lt;0")))</f>
        <v>150</v>
      </c>
      <c r="K2" s="7">
        <f ca="1">IF(V2="",0,AVERAGEIF(INDIRECT("取引履歴!F"&amp;Z2&amp;":F"&amp;AA2),"&gt;0"))</f>
        <v>66562.5</v>
      </c>
      <c r="L2" s="7">
        <f ca="1">IF(W2="",0,ABS(AVERAGEIF(INDIRECT("取引履歴!F"&amp;Z2&amp;":F"&amp;AA2),"&lt;0")))</f>
        <v>58333.333333333336</v>
      </c>
      <c r="M2">
        <f ca="1">SUMIF(INDIRECT("取引履歴!E"&amp;Z2&amp;":E"&amp;AA2),"&gt;0")</f>
        <v>1325</v>
      </c>
      <c r="N2">
        <f ca="1">ABS(SUMIF(INDIRECT("取引履歴!E"&amp;Z2&amp;":E"&amp;AA2),"&lt;0"))</f>
        <v>450</v>
      </c>
      <c r="O2">
        <f ca="1">SUMIF(INDIRECT("取引履歴!F"&amp;Z2&amp;":F"&amp;AA2),"&gt;0")</f>
        <v>532500</v>
      </c>
      <c r="P2">
        <f ca="1">ABS(SUMIF(INDIRECT("取引履歴!F"&amp;Z2&amp;":F"&amp;AA2),"&lt;0"))</f>
        <v>175000</v>
      </c>
      <c r="Q2" s="6">
        <f ca="1">ABS(I2/J2)</f>
        <v>1.1041666666666667</v>
      </c>
      <c r="R2" s="6">
        <f ca="1">ABS(M2/N2)</f>
        <v>2.9444444444444446</v>
      </c>
      <c r="S2" s="6">
        <f ca="1">ABS(K2/L2)</f>
        <v>1.1410714285714285</v>
      </c>
      <c r="T2" s="6">
        <f ca="1">ABS(O2/P2)</f>
        <v>3.0428571428571427</v>
      </c>
      <c r="U2" s="6">
        <f ca="1">IF(A2="","",ABS(AVERAGE(INDIRECT("取引履歴!D"&amp;Z2&amp;":D"&amp;AA2))))</f>
        <v>0.31818181818181818</v>
      </c>
      <c r="V2" s="8">
        <f ca="1">IF(COUNTIF(INDIRECT("取引履歴!C"&amp;Z2&amp;":C"&amp;AA2),"ロング")=0,0,COUNTIFS(INDIRECT("取引履歴!C"&amp;Z2&amp;":C"&amp;AA2),"ロング",INDIRECT("取引履歴!E"&amp;Z2&amp;":E"&amp;AA2),"&gt;0")/COUNTIF(INDIRECT("取引履歴!C"&amp;Z2&amp;":C"&amp;AA2),"ロング"))</f>
        <v>0.8571428571428571</v>
      </c>
      <c r="W2" s="8">
        <f ca="1">IF(COUNTIF(INDIRECT("取引履歴!C"&amp;Z2&amp;":C"&amp;AA2),"ショート")=0,0,COUNTIFS(INDIRECT("取引履歴!C"&amp;Z2&amp;":C"&amp;AA2),"ショート",INDIRECT("取引履歴!E"&amp;Z2&amp;":E"&amp;AA2),"&gt;0")/COUNTIF(INDIRECT("取引履歴!C"&amp;Z2&amp;":C"&amp;AA2),"ショート"))</f>
        <v>0.5</v>
      </c>
      <c r="X2" s="8">
        <f ca="1">COUNTIF(INDIRECT("取引履歴!E"&amp;Z2&amp;":E"&amp;AA2),"&gt;0")/COUNTA(INDIRECT("取引履歴!E"&amp;Z2&amp;":E"&amp;AA2))</f>
        <v>0.72727272727272729</v>
      </c>
      <c r="Y2">
        <f>AA2-Z2+1</f>
        <v>11</v>
      </c>
      <c r="Z2">
        <v>2</v>
      </c>
      <c r="AA2">
        <v>12</v>
      </c>
    </row>
    <row r="3" spans="1:27">
      <c r="A3" t="s">
        <v>82</v>
      </c>
      <c r="B3">
        <f ca="1">SUM(INDIRECT("取引履歴!E"&amp;Z3&amp;":E"&amp;AA3))</f>
        <v>-200</v>
      </c>
      <c r="C3">
        <f ca="1">SUM(INDIRECT("取引履歴!F"&amp;Z3&amp;":F"&amp;AA3))</f>
        <v>-189000</v>
      </c>
      <c r="D3">
        <f ca="1">SUM(INDIRECT("取引履歴!G"&amp;Z3&amp;":G"&amp;AA3))</f>
        <v>1020</v>
      </c>
      <c r="E3">
        <f ca="1">IF(MAX(INDIRECT("取引履歴!E"&amp;Z3&amp;":E"&amp;AA3))&lt;0,0,MAX(INDIRECT("取引履歴!E"&amp;Z3&amp;":E"&amp;AA3)))</f>
        <v>50</v>
      </c>
      <c r="F3">
        <f ca="1">IF(MIN(INDIRECT("取引履歴!E"&amp;Z3&amp;":E"&amp;AA3))&gt;0,0,ABS(MIN(INDIRECT("取引履歴!E"&amp;Z3&amp;":E"&amp;AA3))))</f>
        <v>100</v>
      </c>
      <c r="G3">
        <f ca="1">IF(MAX(INDIRECT("取引履歴!F"&amp;Z3&amp;":F"&amp;AA3))&lt;0,0,MAX(INDIRECT("取引履歴!F"&amp;Z3&amp;":F"&amp;AA3)))</f>
        <v>50000</v>
      </c>
      <c r="H3">
        <f ca="1">IF(MIN(INDIRECT("取引履歴!F"&amp;Z3&amp;":F"&amp;AA3))&gt;0,0,ABS(MIN(INDIRECT("取引履歴!F"&amp;Z3&amp;":F"&amp;AA3))))</f>
        <v>150000</v>
      </c>
      <c r="I3" s="7">
        <f t="shared" ref="I3:I5" ca="1" si="0">IF(V3="",0,AVERAGEIF(INDIRECT("取引履歴!E"&amp;Z3&amp;":E"&amp;AA3),"&gt;0"))</f>
        <v>22</v>
      </c>
      <c r="J3" s="7">
        <f ca="1">IF(W3="",0,ABS(AVERAGEIF(INDIRECT("取引履歴!E"&amp;Z3&amp;":E"&amp;AA3),"&lt;0")))</f>
        <v>51.666666666666664</v>
      </c>
      <c r="K3" s="7">
        <f ca="1">IF(V3="",0,AVERAGEIF(INDIRECT("取引履歴!F"&amp;Z3&amp;":F"&amp;AA3),"&gt;0"))</f>
        <v>23000</v>
      </c>
      <c r="L3" s="7">
        <f ca="1">IF(W3="",0,ABS(AVERAGEIF(INDIRECT("取引履歴!F"&amp;Z3&amp;":F"&amp;AA3),"&lt;0")))</f>
        <v>50666.666666666664</v>
      </c>
      <c r="M3">
        <f ca="1">SUMIF(INDIRECT("取引履歴!E"&amp;Z3&amp;":E"&amp;AA3),"&gt;0")</f>
        <v>110</v>
      </c>
      <c r="N3">
        <f ca="1">ABS(SUMIF(INDIRECT("取引履歴!E"&amp;Z3&amp;":E"&amp;AA3),"&lt;0"))</f>
        <v>310</v>
      </c>
      <c r="O3">
        <f ca="1">SUMIF(INDIRECT("取引履歴!F"&amp;Z3&amp;":F"&amp;AA3),"&gt;0")</f>
        <v>115000</v>
      </c>
      <c r="P3">
        <f ca="1">ABS(SUMIF(INDIRECT("取引履歴!F"&amp;Z3&amp;":F"&amp;AA3),"&lt;0"))</f>
        <v>304000</v>
      </c>
      <c r="Q3" s="6">
        <f ca="1">ABS(I3/J3)</f>
        <v>0.42580645161290326</v>
      </c>
      <c r="R3" s="6">
        <f ca="1">ABS(M3/N3)</f>
        <v>0.35483870967741937</v>
      </c>
      <c r="S3" s="6">
        <f ca="1">ABS(K3/L3)</f>
        <v>0.45394736842105265</v>
      </c>
      <c r="T3" s="6">
        <f ca="1">ABS(O3/P3)</f>
        <v>0.37828947368421051</v>
      </c>
      <c r="U3" s="6">
        <f ca="1">IF(A3="","",ABS(AVERAGE(INDIRECT("取引履歴!D"&amp;Z3&amp;":D"&amp;AA3))))</f>
        <v>1.0727272727272728</v>
      </c>
      <c r="V3" s="8">
        <f ca="1">IF(COUNTIF(INDIRECT("取引履歴!C"&amp;Z3&amp;":C"&amp;AA3),"ロング")=0,0,COUNTIFS(INDIRECT("取引履歴!C"&amp;Z3&amp;":C"&amp;AA3),"ロング",INDIRECT("取引履歴!E"&amp;Z3&amp;":E"&amp;AA3),"&gt;0")/COUNTIF(INDIRECT("取引履歴!C"&amp;Z3&amp;":C"&amp;AA3),"ロング"))</f>
        <v>1</v>
      </c>
      <c r="W3" s="8">
        <f ca="1">IF(COUNTIF(INDIRECT("取引履歴!C"&amp;Z3&amp;":C"&amp;AA3),"ショート")=0,0,COUNTIFS(INDIRECT("取引履歴!C"&amp;Z3&amp;":C"&amp;AA3),"ショート",INDIRECT("取引履歴!E"&amp;Z3&amp;":E"&amp;AA3),"&gt;0")/COUNTIF(INDIRECT("取引履歴!C"&amp;Z3&amp;":C"&amp;AA3),"ショート"))</f>
        <v>0.33333333333333331</v>
      </c>
      <c r="X3" s="8">
        <f ca="1">COUNTIF(INDIRECT("取引履歴!E"&amp;Z3&amp;":E"&amp;AA3),"&gt;0")/COUNTA(INDIRECT("取引履歴!E"&amp;Z3&amp;":E"&amp;AA3))</f>
        <v>0.45454545454545453</v>
      </c>
      <c r="Y3">
        <f>AA3-Z3+1</f>
        <v>11</v>
      </c>
      <c r="Z3">
        <v>13</v>
      </c>
      <c r="AA3">
        <v>23</v>
      </c>
    </row>
    <row r="4" spans="1:27">
      <c r="A4" t="s">
        <v>83</v>
      </c>
      <c r="B4">
        <f ca="1">SUM(INDIRECT("取引履歴!E"&amp;Z4&amp;":E"&amp;AA4))</f>
        <v>610</v>
      </c>
      <c r="C4">
        <f ca="1">SUM(INDIRECT("取引履歴!F"&amp;Z4&amp;":F"&amp;AA4))</f>
        <v>1125000</v>
      </c>
      <c r="D4">
        <f ca="1">SUM(INDIRECT("取引履歴!G"&amp;Z4&amp;":G"&amp;AA4))</f>
        <v>1950</v>
      </c>
      <c r="E4">
        <f ca="1">IF(MAX(INDIRECT("取引履歴!E"&amp;Z4&amp;":E"&amp;AA4))&lt;0,0,MAX(INDIRECT("取引履歴!E"&amp;Z4&amp;":E"&amp;AA4)))</f>
        <v>150</v>
      </c>
      <c r="F4">
        <f ca="1">IF(MIN(INDIRECT("取引履歴!E"&amp;Z4&amp;":E"&amp;AA4))&gt;0,0,ABS(MIN(INDIRECT("取引履歴!E"&amp;Z4&amp;":E"&amp;AA4))))</f>
        <v>30</v>
      </c>
      <c r="G4">
        <f ca="1">IF(MAX(INDIRECT("取引履歴!F"&amp;Z4&amp;":F"&amp;AA4))&lt;0,0,MAX(INDIRECT("取引履歴!F"&amp;Z4&amp;":F"&amp;AA4)))</f>
        <v>300000</v>
      </c>
      <c r="H4">
        <f ca="1">IF(MIN(INDIRECT("取引履歴!F"&amp;Z4&amp;":F"&amp;AA4))&gt;0,0,ABS(MIN(INDIRECT("取引履歴!F"&amp;Z4&amp;":F"&amp;AA4))))</f>
        <v>60000</v>
      </c>
      <c r="I4" s="7">
        <f t="shared" ca="1" si="0"/>
        <v>86.25</v>
      </c>
      <c r="J4" s="7">
        <f ca="1">IF(W4="",0,ABS(AVERAGEIF(INDIRECT("取引履歴!E"&amp;Z4&amp;":E"&amp;AA4),"&lt;0")))</f>
        <v>26.666666666666668</v>
      </c>
      <c r="K4" s="7">
        <f ca="1">IF(V4="",0,AVERAGEIF(INDIRECT("取引履歴!F"&amp;Z4&amp;":F"&amp;AA4),"&gt;0"))</f>
        <v>158750</v>
      </c>
      <c r="L4" s="7">
        <f ca="1">IF(W4="",0,ABS(AVERAGEIF(INDIRECT("取引履歴!F"&amp;Z4&amp;":F"&amp;AA4),"&lt;0")))</f>
        <v>48333.333333333336</v>
      </c>
      <c r="M4">
        <f ca="1">SUMIF(INDIRECT("取引履歴!E"&amp;Z4&amp;":E"&amp;AA4),"&gt;0")</f>
        <v>690</v>
      </c>
      <c r="N4">
        <f ca="1">ABS(SUMIF(INDIRECT("取引履歴!E"&amp;Z4&amp;":E"&amp;AA4),"&lt;0"))</f>
        <v>80</v>
      </c>
      <c r="O4">
        <f ca="1">SUMIF(INDIRECT("取引履歴!F"&amp;Z4&amp;":F"&amp;AA4),"&gt;0")</f>
        <v>1270000</v>
      </c>
      <c r="P4">
        <f ca="1">ABS(SUMIF(INDIRECT("取引履歴!F"&amp;Z4&amp;":F"&amp;AA4),"&lt;0"))</f>
        <v>145000</v>
      </c>
      <c r="Q4" s="6">
        <f ca="1">ABS(I4/J4)</f>
        <v>3.234375</v>
      </c>
      <c r="R4" s="6">
        <f ca="1">ABS(M4/N4)</f>
        <v>8.625</v>
      </c>
      <c r="S4" s="6">
        <f ca="1">ABS(K4/L4)</f>
        <v>3.2844827586206895</v>
      </c>
      <c r="T4" s="6">
        <f ca="1">ABS(O4/P4)</f>
        <v>8.7586206896551726</v>
      </c>
      <c r="U4" s="6">
        <f ca="1">IF(A4="","",ABS(AVERAGE(INDIRECT("取引履歴!D"&amp;Z4&amp;":D"&amp;AA4))))</f>
        <v>1.7727272727272727</v>
      </c>
      <c r="V4" s="8">
        <f ca="1">IF(COUNTIF(INDIRECT("取引履歴!C"&amp;Z4&amp;":C"&amp;AA4),"ロング")=0,0,COUNTIFS(INDIRECT("取引履歴!C"&amp;Z4&amp;":C"&amp;AA4),"ロング",INDIRECT("取引履歴!E"&amp;Z4&amp;":E"&amp;AA4),"&gt;0")/COUNTIF(INDIRECT("取引履歴!C"&amp;Z4&amp;":C"&amp;AA4),"ロング"))</f>
        <v>0.7</v>
      </c>
      <c r="W4" s="8">
        <f ca="1">IF(COUNTIF(INDIRECT("取引履歴!C"&amp;Z4&amp;":C"&amp;AA4),"ショート")=0,0,COUNTIFS(INDIRECT("取引履歴!C"&amp;Z4&amp;":C"&amp;AA4),"ショート",INDIRECT("取引履歴!E"&amp;Z4&amp;":E"&amp;AA4),"&gt;0")/COUNTIF(INDIRECT("取引履歴!C"&amp;Z4&amp;":C"&amp;AA4),"ショート"))</f>
        <v>1</v>
      </c>
      <c r="X4" s="8">
        <f ca="1">COUNTIF(INDIRECT("取引履歴!E"&amp;Z4&amp;":E"&amp;AA4),"&gt;0")/COUNTA(INDIRECT("取引履歴!E"&amp;Z4&amp;":E"&amp;AA4))</f>
        <v>0.72727272727272729</v>
      </c>
      <c r="Y4">
        <f>AA4-Z4+1</f>
        <v>11</v>
      </c>
      <c r="Z4">
        <v>24</v>
      </c>
      <c r="AA4">
        <v>34</v>
      </c>
    </row>
    <row r="5" spans="1:27">
      <c r="A5" t="s">
        <v>84</v>
      </c>
      <c r="B5">
        <f ca="1">SUM(INDIRECT("取引履歴!E"&amp;Z5&amp;":E"&amp;AA5))</f>
        <v>140</v>
      </c>
      <c r="C5">
        <f ca="1">SUM(INDIRECT("取引履歴!F"&amp;Z5&amp;":F"&amp;AA5))</f>
        <v>1050000</v>
      </c>
      <c r="D5">
        <f ca="1">SUM(INDIRECT("取引履歴!G"&amp;Z5&amp;":G"&amp;AA5))</f>
        <v>2400</v>
      </c>
      <c r="E5">
        <f ca="1">IF(MAX(INDIRECT("取引履歴!E"&amp;Z5&amp;":E"&amp;AA5))&lt;0,0,MAX(INDIRECT("取引履歴!E"&amp;Z5&amp;":E"&amp;AA5)))</f>
        <v>200</v>
      </c>
      <c r="F5">
        <f ca="1">IF(MIN(INDIRECT("取引履歴!E"&amp;Z5&amp;":E"&amp;AA5))&gt;0,0,ABS(MIN(INDIRECT("取引履歴!E"&amp;Z5&amp;":E"&amp;AA5))))</f>
        <v>150</v>
      </c>
      <c r="G5">
        <f ca="1">IF(MAX(INDIRECT("取引履歴!F"&amp;Z5&amp;":F"&amp;AA5))&lt;0,0,MAX(INDIRECT("取引履歴!F"&amp;Z5&amp;":F"&amp;AA5)))</f>
        <v>750000</v>
      </c>
      <c r="H5">
        <f ca="1">IF(MIN(INDIRECT("取引履歴!F"&amp;Z5&amp;":F"&amp;AA5))&gt;0,0,ABS(MIN(INDIRECT("取引履歴!F"&amp;Z5&amp;":F"&amp;AA5))))</f>
        <v>300000</v>
      </c>
      <c r="I5" s="7">
        <f t="shared" ca="1" si="0"/>
        <v>77.5</v>
      </c>
      <c r="J5" s="7">
        <f ca="1">IF(W5="",0,ABS(AVERAGEIF(INDIRECT("取引履歴!E"&amp;Z5&amp;":E"&amp;AA5),"&lt;0")))</f>
        <v>85</v>
      </c>
      <c r="K5" s="7">
        <f ca="1">IF(V5="",0,AVERAGEIF(INDIRECT("取引履歴!F"&amp;Z5&amp;":F"&amp;AA5),"&gt;0"))</f>
        <v>362500</v>
      </c>
      <c r="L5" s="7">
        <f ca="1">IF(W5="",0,ABS(AVERAGEIF(INDIRECT("取引履歴!F"&amp;Z5&amp;":F"&amp;AA5),"&lt;0")))</f>
        <v>200000</v>
      </c>
      <c r="M5">
        <f ca="1">SUMIF(INDIRECT("取引履歴!E"&amp;Z5&amp;":E"&amp;AA5),"&gt;0")</f>
        <v>310</v>
      </c>
      <c r="N5">
        <f ca="1">ABS(SUMIF(INDIRECT("取引履歴!E"&amp;Z5&amp;":E"&amp;AA5),"&lt;0"))</f>
        <v>170</v>
      </c>
      <c r="O5">
        <f ca="1">SUMIF(INDIRECT("取引履歴!F"&amp;Z5&amp;":F"&amp;AA5),"&gt;0")</f>
        <v>1450000</v>
      </c>
      <c r="P5">
        <f ca="1">ABS(SUMIF(INDIRECT("取引履歴!F"&amp;Z5&amp;":F"&amp;AA5),"&lt;0"))</f>
        <v>400000</v>
      </c>
      <c r="Q5" s="6">
        <f ca="1">ABS(I5/J5)</f>
        <v>0.91176470588235292</v>
      </c>
      <c r="R5" s="6">
        <f ca="1">ABS(M5/N5)</f>
        <v>1.8235294117647058</v>
      </c>
      <c r="S5" s="6">
        <f ca="1">ABS(K5/L5)</f>
        <v>1.8125</v>
      </c>
      <c r="T5" s="6">
        <f ca="1">ABS(O5/P5)</f>
        <v>3.625</v>
      </c>
      <c r="U5" s="6">
        <f ca="1">IF(A5="","",ABS(AVERAGE(INDIRECT("取引履歴!D"&amp;Z5&amp;":D"&amp;AA5))))</f>
        <v>4</v>
      </c>
      <c r="V5" s="8">
        <f ca="1">IF(COUNTIF(INDIRECT("取引履歴!C"&amp;Z5&amp;":C"&amp;AA5),"ロング")=0,0,COUNTIFS(INDIRECT("取引履歴!C"&amp;Z5&amp;":C"&amp;AA5),"ロング",INDIRECT("取引履歴!E"&amp;Z5&amp;":E"&amp;AA5),"&gt;0")/COUNTIF(INDIRECT("取引履歴!C"&amp;Z5&amp;":C"&amp;AA5),"ロング"))</f>
        <v>0.75</v>
      </c>
      <c r="W5" s="8">
        <f ca="1">IF(COUNTIF(INDIRECT("取引履歴!C"&amp;Z5&amp;":C"&amp;AA5),"ショート")=0,0,COUNTIFS(INDIRECT("取引履歴!C"&amp;Z5&amp;":C"&amp;AA5),"ショート",INDIRECT("取引履歴!E"&amp;Z5&amp;":E"&amp;AA5),"&gt;0")/COUNTIF(INDIRECT("取引履歴!C"&amp;Z5&amp;":C"&amp;AA5),"ショート"))</f>
        <v>0.5</v>
      </c>
      <c r="X5" s="8">
        <f ca="1">COUNTIF(INDIRECT("取引履歴!E"&amp;Z5&amp;":E"&amp;AA5),"&gt;0")/COUNTA(INDIRECT("取引履歴!E"&amp;Z5&amp;":E"&amp;AA5))</f>
        <v>0.66666666666666663</v>
      </c>
      <c r="Y5">
        <f>AA5-Z5+1</f>
        <v>6</v>
      </c>
      <c r="Z5">
        <v>35</v>
      </c>
      <c r="AA5">
        <v>40</v>
      </c>
    </row>
    <row r="6" spans="1:27">
      <c r="I6" s="7"/>
      <c r="L6" s="7"/>
      <c r="S6" s="6"/>
    </row>
    <row r="7" spans="1:27">
      <c r="I7" s="7"/>
      <c r="S7" s="6"/>
    </row>
    <row r="8" spans="1:27">
      <c r="I8" s="7"/>
    </row>
    <row r="9" spans="1:27">
      <c r="F9" t="s">
        <v>85</v>
      </c>
    </row>
    <row r="10" spans="1:27">
      <c r="F10" t="s">
        <v>86</v>
      </c>
    </row>
    <row r="11" spans="1:27">
      <c r="F11" t="s">
        <v>87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A10" sqref="A10"/>
    </sheetView>
  </sheetViews>
  <sheetFormatPr baseColWidth="12" defaultRowHeight="18" x14ac:dyDescent="0"/>
  <sheetData>
    <row r="1" spans="1:22">
      <c r="A1" t="s">
        <v>88</v>
      </c>
      <c r="B1" t="s">
        <v>35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</row>
    <row r="2" spans="1:22">
      <c r="A2" t="s">
        <v>99</v>
      </c>
      <c r="B2">
        <f>SUMIF(取引履歴!B2:B5000,"*JPY*",取引履歴!E2:E5000)</f>
        <v>1145</v>
      </c>
      <c r="C2">
        <f>DMAX(取引履歴!$A$1:$E$5000,取引履歴!$E$1,$V$2:$V$3)</f>
        <v>500</v>
      </c>
      <c r="D2">
        <f>ABS(DMIN(取引履歴!$A$1:$E$5000,取引履歴!$E$1,$V$2:$V$3))</f>
        <v>100</v>
      </c>
      <c r="E2" s="7">
        <f>AVERAGEIFS(取引履歴!E$2:E$5000,取引履歴!B$2:B$5000,"*JPY*",取引履歴!E$2:E$5000,"&gt;=0")</f>
        <v>111.66666666666667</v>
      </c>
      <c r="F2" s="7">
        <f>ABS(AVERAGEIFS(取引履歴!E$2:E$5000,取引履歴!B$2:B$5000,"*JPY*",取引履歴!E$2:E$5000,"&lt;=0"))</f>
        <v>48.18181818181818</v>
      </c>
      <c r="G2" s="7">
        <f>SUMIFS(取引履歴!E$2:E$5000,取引履歴!B$2:B$5000,"*JPY*",取引履歴!E$2:E$5000,"&gt;=0")</f>
        <v>1675</v>
      </c>
      <c r="H2" s="7">
        <f>ABS(SUMIFS(取引履歴!E$2:E$5000,取引履歴!B$2:B$5000,"*JPY*",取引履歴!E$2:E$5000,"&lt;=0"))</f>
        <v>530</v>
      </c>
      <c r="I2" s="6">
        <f>ABS(E2/F2)</f>
        <v>2.317610062893082</v>
      </c>
      <c r="J2" s="6">
        <f>ABS(G2/H2)</f>
        <v>3.1603773584905661</v>
      </c>
      <c r="K2" s="8">
        <f ca="1">COUNTIFS(INDIRECT("取引履歴!B2"&amp;":B"&amp;MAX(月次データ!AA:AA)),"*JPY*",INDIRECT("取引履歴!E2"&amp;":E"&amp;MAX(月次データ!AA:AA)),"&gt;=0")/COUNTIF(INDIRECT("取引履歴!B2"&amp;":B"&amp;MAX(月次データ!AA:AA)),"*JPY*")</f>
        <v>0.57692307692307687</v>
      </c>
      <c r="L2">
        <f ca="1">COUNTIF(INDIRECT("取引履歴!B2"&amp;":B"&amp;MAX(月次データ!AA:AA)),"*JPY*")</f>
        <v>26</v>
      </c>
      <c r="V2" t="s">
        <v>1</v>
      </c>
    </row>
    <row r="3" spans="1:22">
      <c r="A3" t="s">
        <v>100</v>
      </c>
      <c r="B3">
        <f>SUMIF(取引履歴!B3:B5001,"*EUR*",取引履歴!E3:E5001)</f>
        <v>1260</v>
      </c>
      <c r="C3">
        <f>DMAX(取引履歴!$A$1:$E$5000,取引履歴!$E$1,$V$4:$V$5)</f>
        <v>500</v>
      </c>
      <c r="D3">
        <f>ABS(DMIN(取引履歴!$A$1:$E$5000,取引履歴!$E$1,$V$4:$V$5))</f>
        <v>30</v>
      </c>
      <c r="E3" s="7">
        <f>AVERAGEIFS(取引履歴!E$2:E$5000,取引履歴!B$2:B$5000,"*EUR*",取引履歴!E$2:E$5000,"&gt;=0")</f>
        <v>137</v>
      </c>
      <c r="F3" s="7">
        <f>ABS(AVERAGEIFS(取引履歴!E$2:E$5000,取引履歴!B$2:B$5000,"*EUR*",取引履歴!E$2:E$5000,"&lt;=0"))</f>
        <v>30</v>
      </c>
      <c r="G3" s="7">
        <f>SUMIFS(取引履歴!E$2:E$5000,取引履歴!B$2:B$5000,"*EUR*",取引履歴!E$2:E$5000,"&gt;=0")</f>
        <v>1370</v>
      </c>
      <c r="H3" s="7">
        <f>ABS(SUMIFS(取引履歴!E$2:E$5000,取引履歴!B$2:B$5000,"*EUR*",取引履歴!E$2:E$5000,"&lt;=0"))</f>
        <v>60</v>
      </c>
      <c r="I3" s="6">
        <f t="shared" ref="I3:I9" si="0">ABS(E3/F3)</f>
        <v>4.5666666666666664</v>
      </c>
      <c r="J3" s="6">
        <f t="shared" ref="J3:J9" si="1">ABS(G3/H3)</f>
        <v>22.833333333333332</v>
      </c>
      <c r="K3" s="8">
        <f ca="1">COUNTIFS(INDIRECT("取引履歴!B2"&amp;":B"&amp;MAX(月次データ!AA:AA)),"*EUR*",INDIRECT("取引履歴!E2"&amp;":E"&amp;MAX(月次データ!AA:AA)),"&gt;=0")/COUNTIF(INDIRECT("取引履歴!B2"&amp;":B"&amp;MAX(月次データ!AA:AA)),"*EUR*")</f>
        <v>0.83333333333333337</v>
      </c>
      <c r="L3">
        <f ca="1">COUNTIF(INDIRECT("取引履歴!B2"&amp;":B"&amp;MAX(月次データ!AA:AA)),"*EUR*")</f>
        <v>12</v>
      </c>
      <c r="S3" t="s">
        <v>108</v>
      </c>
      <c r="V3" t="str">
        <f>"*JPY*"</f>
        <v>*JPY*</v>
      </c>
    </row>
    <row r="4" spans="1:22">
      <c r="A4" t="s">
        <v>101</v>
      </c>
      <c r="B4">
        <f>SUMIF(取引履歴!B4:B5002,"*USD*",取引履歴!E4:E5002)</f>
        <v>135</v>
      </c>
      <c r="C4">
        <f>DMAX(取引履歴!$A$1:$E$5000,取引履歴!$E$1,$V$6:$V$7)</f>
        <v>200</v>
      </c>
      <c r="D4">
        <f>ABS(DMIN(取引履歴!$A$1:$E$5000,取引履歴!$E$1,$V$6:$V$7))</f>
        <v>300</v>
      </c>
      <c r="E4" s="7">
        <f>AVERAGEIFS(取引履歴!E$2:E$5000,取引履歴!B$2:B$5000,"*USD*",取引履歴!E$2:E$5000,"&gt;=0")</f>
        <v>73.5</v>
      </c>
      <c r="F4" s="7">
        <f>ABS(AVERAGEIFS(取引履歴!E$2:E$5000,取引履歴!B$2:B$5000,"*USD*",取引履歴!E$2:E$5000,"&lt;=0"))</f>
        <v>110</v>
      </c>
      <c r="G4" s="7">
        <f>SUMIFS(取引履歴!E$2:E$5000,取引履歴!B$2:B$5000,"*USD*",取引履歴!E$2:E$5000,"&gt;=0")</f>
        <v>735</v>
      </c>
      <c r="H4" s="7">
        <f>ABS(SUMIFS(取引履歴!E$2:E$5000,取引履歴!B$2:B$5000,"*USD*",取引履歴!E$2:E$5000,"&lt;=0"))</f>
        <v>550</v>
      </c>
      <c r="I4" s="6">
        <f t="shared" si="0"/>
        <v>0.66818181818181821</v>
      </c>
      <c r="J4" s="6">
        <f t="shared" si="1"/>
        <v>1.3363636363636364</v>
      </c>
      <c r="K4" s="8">
        <f ca="1">COUNTIFS(INDIRECT("取引履歴!B2"&amp;":B"&amp;MAX(月次データ!AA:AA)),"*USD*",INDIRECT("取引履歴!E2"&amp;":E"&amp;MAX(月次データ!AA:AA)),"&gt;=0")/COUNTIF(INDIRECT("取引履歴!B2"&amp;":B"&amp;MAX(月次データ!AA:AA)),"*USD*")</f>
        <v>0.66666666666666663</v>
      </c>
      <c r="L4">
        <f ca="1">COUNTIF(INDIRECT("取引履歴!B2"&amp;":B"&amp;MAX(月次データ!AA:AA)),"*USD*")</f>
        <v>15</v>
      </c>
      <c r="V4" t="s">
        <v>1</v>
      </c>
    </row>
    <row r="5" spans="1:22">
      <c r="A5" t="s">
        <v>102</v>
      </c>
      <c r="B5">
        <f>SUMIF(取引履歴!B5:B5003,"*GBP*",取引履歴!E5:E5003)</f>
        <v>560</v>
      </c>
      <c r="C5">
        <f>DMAX(取引履歴!$A$1:$E$5000,取引履歴!$E$1,$V$8:$V$9)</f>
        <v>200</v>
      </c>
      <c r="D5">
        <f>ABS(DMIN(取引履歴!$A$1:$E$5000,取引履歴!$E$1,$V$8:$V$9))</f>
        <v>150</v>
      </c>
      <c r="E5" s="7">
        <f>AVERAGEIFS(取引履歴!E$2:E$5000,取引履歴!B$2:B$5000,"*GBP*",取引履歴!E$2:E$5000,"&gt;=0")</f>
        <v>128.33333333333334</v>
      </c>
      <c r="F5" s="7">
        <f>ABS(AVERAGEIFS(取引履歴!E$2:E$5000,取引履歴!B$2:B$5000,"*GBP*",取引履歴!E$2:E$5000,"&lt;=0"))</f>
        <v>77.5</v>
      </c>
      <c r="G5" s="7">
        <f>SUMIFS(取引履歴!E$2:E$5000,取引履歴!B$2:B$5000,"*GBP*",取引履歴!E$2:E$5000,"&gt;=0")</f>
        <v>770</v>
      </c>
      <c r="H5" s="7">
        <f>ABS(SUMIFS(取引履歴!E$2:E$5000,取引履歴!B$2:B$5000,"*GBP*",取引履歴!E$2:E$5000,"&lt;=0"))</f>
        <v>310</v>
      </c>
      <c r="I5" s="6">
        <f t="shared" si="0"/>
        <v>1.6559139784946237</v>
      </c>
      <c r="J5" s="6">
        <f t="shared" si="1"/>
        <v>2.4838709677419355</v>
      </c>
      <c r="K5" s="8">
        <f ca="1">COUNTIFS(INDIRECT("取引履歴!B2"&amp;":B"&amp;MAX(月次データ!AA:AA)),"*GBP*",INDIRECT("取引履歴!E2"&amp;":E"&amp;MAX(月次データ!AA:AA)),"&gt;=0")/COUNTIF(INDIRECT("取引履歴!B2"&amp;":B"&amp;MAX(月次データ!AA:AA)),"*GBP*")</f>
        <v>0.6</v>
      </c>
      <c r="L5">
        <f ca="1">COUNTIF(INDIRECT("取引履歴!B2"&amp;":B"&amp;MAX(月次データ!AA:AA)),"*GBP*")</f>
        <v>10</v>
      </c>
      <c r="V5" t="str">
        <f>"*EUR*"</f>
        <v>*EUR*</v>
      </c>
    </row>
    <row r="6" spans="1:22">
      <c r="A6" t="s">
        <v>103</v>
      </c>
      <c r="B6">
        <f>SUMIF(取引履歴!B6:B5004,"*AUD*",取引履歴!E6:E5004)</f>
        <v>0</v>
      </c>
      <c r="C6">
        <f>DMAX(取引履歴!$A$1:$E$5000,取引履歴!$E$1,$V$10:$V$11)</f>
        <v>100</v>
      </c>
      <c r="D6">
        <f>ABS(DMIN(取引履歴!$A$1:$E$5000,取引履歴!$E$1,$V$10:$V$11))</f>
        <v>100</v>
      </c>
      <c r="E6" s="7">
        <f>AVERAGEIFS(取引履歴!E$2:E$5000,取引履歴!B$2:B$5000,"*AUD*",取引履歴!E$2:E$5000,"&gt;=0")</f>
        <v>100</v>
      </c>
      <c r="F6" s="7">
        <f>ABS(AVERAGEIFS(取引履歴!E$2:E$5000,取引履歴!B$2:B$5000,"*AUD*",取引履歴!E$2:E$5000,"&lt;=0"))</f>
        <v>100</v>
      </c>
      <c r="G6" s="7">
        <f>SUMIFS(取引履歴!E$2:E$5000,取引履歴!B$2:B$5000,"*AUD*",取引履歴!E$2:E$5000,"&gt;=0")</f>
        <v>100</v>
      </c>
      <c r="H6" s="7">
        <f>ABS(SUMIFS(取引履歴!E$2:E$5000,取引履歴!B$2:B$5000,"*AUD*",取引履歴!E$2:E$5000,"&lt;=0"))</f>
        <v>100</v>
      </c>
      <c r="I6" s="6">
        <f t="shared" si="0"/>
        <v>1</v>
      </c>
      <c r="J6" s="6">
        <f t="shared" si="1"/>
        <v>1</v>
      </c>
      <c r="K6" s="8">
        <f ca="1">COUNTIFS(INDIRECT("取引履歴!B2"&amp;":B"&amp;MAX(月次データ!AA:AA)),"*AUD*",INDIRECT("取引履歴!E2"&amp;":E"&amp;MAX(月次データ!AA:AA)),"&gt;=0")/COUNTIF(INDIRECT("取引履歴!B2"&amp;":B"&amp;MAX(月次データ!AA:AA)),"*AUD*")</f>
        <v>0.5</v>
      </c>
      <c r="L6">
        <f ca="1">COUNTIF(INDIRECT("取引履歴!B2"&amp;":B"&amp;MAX(月次データ!AA:AA)),"*AUD*")</f>
        <v>2</v>
      </c>
      <c r="V6" t="s">
        <v>1</v>
      </c>
    </row>
    <row r="7" spans="1:22">
      <c r="A7" t="s">
        <v>104</v>
      </c>
      <c r="B7">
        <f>SUMIF(取引履歴!B7:B5005,"*CHF*",取引履歴!E7:E5005)</f>
        <v>130</v>
      </c>
      <c r="C7">
        <f>DMAX(取引履歴!$A$1:$E$5000,取引履歴!$E$1,$V$12:$V$13)</f>
        <v>50</v>
      </c>
      <c r="D7">
        <f>ABS(DMIN(取引履歴!$A$1:$E$5000,取引履歴!$E$1,$V$12:$V$13))</f>
        <v>20</v>
      </c>
      <c r="E7" s="7">
        <f>AVERAGEIFS(取引履歴!E$2:E$5000,取引履歴!B$2:B$5000,"*CHF*",取引履歴!E$2:E$5000,"&gt;=0")</f>
        <v>30</v>
      </c>
      <c r="F7" s="7">
        <f>ABS(AVERAGEIFS(取引履歴!E$2:E$5000,取引履歴!B$2:B$5000,"*CHF*",取引履歴!E$2:E$5000,"&lt;=0"))</f>
        <v>20</v>
      </c>
      <c r="G7" s="7">
        <f>SUMIFS(取引履歴!E$2:E$5000,取引履歴!B$2:B$5000,"*CHF*",取引履歴!E$2:E$5000,"&gt;=0")</f>
        <v>150</v>
      </c>
      <c r="H7" s="7">
        <f>ABS(SUMIFS(取引履歴!E$2:E$5000,取引履歴!B$2:B$5000,"*CHF*",取引履歴!E$2:E$5000,"&lt;=0"))</f>
        <v>20</v>
      </c>
      <c r="I7" s="6">
        <f t="shared" si="0"/>
        <v>1.5</v>
      </c>
      <c r="J7" s="6">
        <f t="shared" si="1"/>
        <v>7.5</v>
      </c>
      <c r="K7" s="8">
        <f ca="1">COUNTIFS(INDIRECT("取引履歴!B2"&amp;":B"&amp;MAX(月次データ!AA:AA)),"*CHF*",INDIRECT("取引履歴!E2"&amp;":E"&amp;MAX(月次データ!AA:AA)),"&gt;=0")/COUNTIF(INDIRECT("取引履歴!B2"&amp;":B"&amp;MAX(月次データ!AA:AA)),"*CHF*")</f>
        <v>0.83333333333333337</v>
      </c>
      <c r="L7">
        <f ca="1">COUNTIF(INDIRECT("取引履歴!B2"&amp;":B"&amp;MAX(月次データ!AA:AA)),"*CHF*")</f>
        <v>6</v>
      </c>
      <c r="V7" t="str">
        <f>"*USD*"</f>
        <v>*USD*</v>
      </c>
    </row>
    <row r="8" spans="1:22">
      <c r="A8" t="s">
        <v>105</v>
      </c>
      <c r="B8">
        <f>SUMIF(取引履歴!B8:B5006,"*NZD*",取引履歴!E8:E5006)</f>
        <v>-300</v>
      </c>
      <c r="C8">
        <f>DMAX(取引履歴!$A$1:$E$5000,取引履歴!$E$1,$V$14:$V$15)</f>
        <v>10</v>
      </c>
      <c r="D8">
        <f>ABS(DMIN(取引履歴!$A$1:$E$5000,取引履歴!$E$1,$V$14:$V$15))</f>
        <v>300</v>
      </c>
      <c r="E8" s="7">
        <f>AVERAGEIFS(取引履歴!E$2:E$5000,取引履歴!B$2:B$5000,"*NZD*",取引履歴!E$2:E$5000,"&gt;=0")</f>
        <v>10</v>
      </c>
      <c r="F8" s="7">
        <f>ABS(AVERAGEIFS(取引履歴!E$2:E$5000,取引履歴!B$2:B$5000,"*NZD*",取引履歴!E$2:E$5000,"&lt;=0"))</f>
        <v>160</v>
      </c>
      <c r="G8" s="7">
        <f>SUMIFS(取引履歴!E$2:E$5000,取引履歴!B$2:B$5000,"*NZD*",取引履歴!E$2:E$5000,"&gt;=0")</f>
        <v>20</v>
      </c>
      <c r="H8" s="7">
        <f>ABS(SUMIFS(取引履歴!E$2:E$5000,取引履歴!B$2:B$5000,"*NZD*",取引履歴!E$2:E$5000,"&lt;=0"))</f>
        <v>320</v>
      </c>
      <c r="I8" s="6">
        <f t="shared" si="0"/>
        <v>6.25E-2</v>
      </c>
      <c r="J8" s="6">
        <f t="shared" si="1"/>
        <v>6.25E-2</v>
      </c>
      <c r="K8" s="8">
        <f ca="1">COUNTIFS(INDIRECT("取引履歴!B2"&amp;":B"&amp;MAX(月次データ!AA:AA)),"*NZD*",INDIRECT("取引履歴!E2"&amp;":E"&amp;MAX(月次データ!AA:AA)),"&gt;=0")/COUNTIF(INDIRECT("取引履歴!B2"&amp;":B"&amp;MAX(月次データ!AA:AA)),"*NZD*")</f>
        <v>0.5</v>
      </c>
      <c r="L8">
        <f ca="1">COUNTIF(INDIRECT("取引履歴!B2"&amp;":B"&amp;MAX(月次データ!AA:AA)),"*NZD*")</f>
        <v>4</v>
      </c>
      <c r="V8" t="s">
        <v>1</v>
      </c>
    </row>
    <row r="9" spans="1:22">
      <c r="A9" t="s">
        <v>106</v>
      </c>
      <c r="B9">
        <f>SUMIF(取引履歴!B9:B5007,"*CAD*",取引履歴!E9:E5007)</f>
        <v>-80</v>
      </c>
      <c r="C9">
        <f>DMAX(取引履歴!$A$1:$E$5000,取引履歴!$E$1,$V$16:$V$17)</f>
        <v>50</v>
      </c>
      <c r="D9">
        <f>ABS(DMIN(取引履歴!$A$1:$E$5000,取引履歴!$E$1,$V$16:$V$17))</f>
        <v>100</v>
      </c>
      <c r="E9" s="7">
        <f>AVERAGEIFS(取引履歴!E$2:E$5000,取引履歴!B$2:B$5000,"*CAD*",取引履歴!E$2:E$5000,"&gt;=0")</f>
        <v>50</v>
      </c>
      <c r="F9" s="7">
        <f>ABS(AVERAGEIFS(取引履歴!E$2:E$5000,取引履歴!B$2:B$5000,"*CAD*",取引履歴!E$2:E$5000,"&lt;=0"))</f>
        <v>65</v>
      </c>
      <c r="G9" s="7">
        <f>SUMIFS(取引履歴!E$2:E$5000,取引履歴!B$2:B$5000,"*CAD*",取引履歴!E$2:E$5000,"&gt;=0")</f>
        <v>50</v>
      </c>
      <c r="H9" s="7">
        <f>ABS(SUMIFS(取引履歴!E$2:E$5000,取引履歴!B$2:B$5000,"*CAD*",取引履歴!E$2:E$5000,"&lt;=0"))</f>
        <v>130</v>
      </c>
      <c r="I9" s="6">
        <f t="shared" si="0"/>
        <v>0.76923076923076927</v>
      </c>
      <c r="J9" s="6">
        <f t="shared" si="1"/>
        <v>0.38461538461538464</v>
      </c>
      <c r="K9" s="8">
        <f ca="1">COUNTIFS(INDIRECT("取引履歴!B2"&amp;":B"&amp;MAX(月次データ!AA:AA)),"*CAD*",INDIRECT("取引履歴!E2"&amp;":E"&amp;MAX(月次データ!AA:AA)),"&gt;=0")/COUNTIF(INDIRECT("取引履歴!B2"&amp;":B"&amp;MAX(月次データ!AA:AA)),"*CAD*")</f>
        <v>0.33333333333333331</v>
      </c>
      <c r="L9">
        <f ca="1">COUNTIF(INDIRECT("取引履歴!B2"&amp;":B"&amp;MAX(月次データ!AA:AA)),"*CAD*")</f>
        <v>3</v>
      </c>
      <c r="V9" t="str">
        <f>"*GBP*"</f>
        <v>*GBP*</v>
      </c>
    </row>
    <row r="10" spans="1:22">
      <c r="V10" t="s">
        <v>1</v>
      </c>
    </row>
    <row r="11" spans="1:22">
      <c r="V11" t="str">
        <f>"*AUD*"</f>
        <v>*AUD*</v>
      </c>
    </row>
    <row r="12" spans="1:22">
      <c r="V12" t="s">
        <v>1</v>
      </c>
    </row>
    <row r="13" spans="1:22">
      <c r="V13" t="str">
        <f>"*CHF*"</f>
        <v>*CHF*</v>
      </c>
    </row>
    <row r="14" spans="1:22">
      <c r="V14" t="s">
        <v>1</v>
      </c>
    </row>
    <row r="15" spans="1:22">
      <c r="V15" t="str">
        <f>"*NZD*"</f>
        <v>*NZD*</v>
      </c>
    </row>
    <row r="16" spans="1:22">
      <c r="V16" t="s">
        <v>1</v>
      </c>
    </row>
    <row r="17" spans="22:22">
      <c r="V17" t="str">
        <f>"*CAD*"</f>
        <v>*CAD*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取引履歴</vt:lpstr>
      <vt:lpstr>月次データ</vt:lpstr>
      <vt:lpstr>単体通貨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冬月 成樹</dc:creator>
  <cp:lastModifiedBy>冬月 成樹</cp:lastModifiedBy>
  <dcterms:created xsi:type="dcterms:W3CDTF">2017-08-08T00:41:59Z</dcterms:created>
  <dcterms:modified xsi:type="dcterms:W3CDTF">2017-08-15T17:12:59Z</dcterms:modified>
</cp:coreProperties>
</file>